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 defaultThemeVersion="124226"/>
  <xr:revisionPtr revIDLastSave="0" documentId="13_ncr:1_{C149B4D7-0061-49CF-A821-2A2962B82D27}" xr6:coauthVersionLast="45" xr6:coauthVersionMax="45" xr10:uidLastSave="{00000000-0000-0000-0000-000000000000}"/>
  <bookViews>
    <workbookView xWindow="840" yWindow="-120" windowWidth="28080" windowHeight="16440" tabRatio="979" activeTab="2" xr2:uid="{00000000-000D-0000-FFFF-FFFF00000000}"/>
  </bookViews>
  <sheets>
    <sheet name="Legend" sheetId="3" r:id="rId1"/>
    <sheet name="Menu" sheetId="5" r:id="rId2"/>
    <sheet name="Inflation" sheetId="11" r:id="rId3"/>
    <sheet name="Historical Expenditure-Volumes" sheetId="7" r:id="rId4"/>
    <sheet name="Historical Contributions" sheetId="25" r:id="rId5"/>
    <sheet name="ACIF Growth Figures" sheetId="8" r:id="rId6"/>
    <sheet name="Major Projects" sheetId="12" r:id="rId7"/>
    <sheet name="Function Code Mapping" sheetId="15" r:id="rId8"/>
    <sheet name="Growth Rates" sheetId="17" r:id="rId9"/>
    <sheet name="Unit Rates" sheetId="30" r:id="rId10"/>
    <sheet name="Forecast Expenditure-Volumes" sheetId="20" r:id="rId11"/>
    <sheet name="Forecast Contributions" sheetId="32" r:id="rId12"/>
    <sheet name="Contributions Impact" sheetId="40" r:id="rId13"/>
    <sheet name="Forecast Contributions -AER" sheetId="39" r:id="rId14"/>
    <sheet name="Expenditure &amp; Volume Output" sheetId="21" r:id="rId15"/>
    <sheet name="Gross Capex" sheetId="37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37" l="1"/>
  <c r="A1" i="21"/>
  <c r="A1" i="39"/>
  <c r="A1" i="32"/>
  <c r="A1" i="20"/>
  <c r="A1" i="30"/>
  <c r="A1" i="17"/>
  <c r="A1" i="15"/>
  <c r="A1" i="12"/>
  <c r="A1" i="8"/>
  <c r="A1" i="25"/>
  <c r="A1" i="7"/>
  <c r="A1" i="11"/>
  <c r="E9" i="40" l="1"/>
  <c r="E17" i="40" l="1"/>
  <c r="F107" i="39" l="1"/>
  <c r="D107" i="39"/>
  <c r="C107" i="39"/>
  <c r="F106" i="39"/>
  <c r="D106" i="39"/>
  <c r="C106" i="39"/>
  <c r="F105" i="39"/>
  <c r="D105" i="39"/>
  <c r="C105" i="39"/>
  <c r="F104" i="39"/>
  <c r="D104" i="39"/>
  <c r="C104" i="39"/>
  <c r="F103" i="39"/>
  <c r="D103" i="39"/>
  <c r="C103" i="39"/>
  <c r="E102" i="39"/>
  <c r="C102" i="39"/>
  <c r="D101" i="39"/>
  <c r="E100" i="39"/>
  <c r="C100" i="39"/>
  <c r="D99" i="39"/>
  <c r="E96" i="39"/>
  <c r="D95" i="39"/>
  <c r="K64" i="39"/>
  <c r="K63" i="39"/>
  <c r="K62" i="39"/>
  <c r="K61" i="39"/>
  <c r="K60" i="39"/>
  <c r="K59" i="39"/>
  <c r="K58" i="39"/>
  <c r="K57" i="39"/>
  <c r="K56" i="39"/>
  <c r="K55" i="39"/>
  <c r="K54" i="39"/>
  <c r="K53" i="39"/>
  <c r="K52" i="39"/>
  <c r="M41" i="39"/>
  <c r="J41" i="39"/>
  <c r="I41" i="39"/>
  <c r="H41" i="39"/>
  <c r="G41" i="39"/>
  <c r="L41" i="39"/>
  <c r="M40" i="39"/>
  <c r="J40" i="39"/>
  <c r="I40" i="39"/>
  <c r="H40" i="39"/>
  <c r="G40" i="39"/>
  <c r="L40" i="39"/>
  <c r="M39" i="39"/>
  <c r="J39" i="39"/>
  <c r="I39" i="39"/>
  <c r="H39" i="39"/>
  <c r="G39" i="39"/>
  <c r="L39" i="39"/>
  <c r="M38" i="39"/>
  <c r="J38" i="39"/>
  <c r="I38" i="39"/>
  <c r="H38" i="39"/>
  <c r="G38" i="39"/>
  <c r="L38" i="39"/>
  <c r="M37" i="39"/>
  <c r="J37" i="39"/>
  <c r="H37" i="39"/>
  <c r="G37" i="39"/>
  <c r="L37" i="39"/>
  <c r="M36" i="39"/>
  <c r="J36" i="39"/>
  <c r="H36" i="39"/>
  <c r="G36" i="39"/>
  <c r="L36" i="39"/>
  <c r="M35" i="39"/>
  <c r="G35" i="39"/>
  <c r="H35" i="39"/>
  <c r="M34" i="39"/>
  <c r="K34" i="39"/>
  <c r="J34" i="39"/>
  <c r="I34" i="39"/>
  <c r="G34" i="39"/>
  <c r="H34" i="39"/>
  <c r="M33" i="39"/>
  <c r="K33" i="39"/>
  <c r="J33" i="39"/>
  <c r="I33" i="39"/>
  <c r="G33" i="39"/>
  <c r="H33" i="39"/>
  <c r="M32" i="39"/>
  <c r="K32" i="39"/>
  <c r="J32" i="39"/>
  <c r="I32" i="39"/>
  <c r="H32" i="39"/>
  <c r="G32" i="39"/>
  <c r="L32" i="39"/>
  <c r="M31" i="39"/>
  <c r="K31" i="39"/>
  <c r="J31" i="39"/>
  <c r="I31" i="39"/>
  <c r="H31" i="39"/>
  <c r="G31" i="39"/>
  <c r="L31" i="39"/>
  <c r="M30" i="39"/>
  <c r="K30" i="39"/>
  <c r="J30" i="39"/>
  <c r="I30" i="39"/>
  <c r="H30" i="39"/>
  <c r="G30" i="39"/>
  <c r="L30" i="39"/>
  <c r="M29" i="39"/>
  <c r="K29" i="39"/>
  <c r="J29" i="39"/>
  <c r="I29" i="39"/>
  <c r="H29" i="39"/>
  <c r="G29" i="39"/>
  <c r="L29" i="39"/>
  <c r="E42" i="39"/>
  <c r="D42" i="39"/>
  <c r="C42" i="39"/>
  <c r="K18" i="39"/>
  <c r="H18" i="39"/>
  <c r="K17" i="39"/>
  <c r="H17" i="39"/>
  <c r="J17" i="39"/>
  <c r="K16" i="39"/>
  <c r="H16" i="39"/>
  <c r="J16" i="39"/>
  <c r="K15" i="39"/>
  <c r="M15" i="39"/>
  <c r="H14" i="39"/>
  <c r="K14" i="39"/>
  <c r="J14" i="39"/>
  <c r="I13" i="39"/>
  <c r="K13" i="39"/>
  <c r="J13" i="39"/>
  <c r="I12" i="39"/>
  <c r="K12" i="39"/>
  <c r="J12" i="39"/>
  <c r="L11" i="39"/>
  <c r="K11" i="39"/>
  <c r="J11" i="39"/>
  <c r="L10" i="39"/>
  <c r="I10" i="39"/>
  <c r="J10" i="39"/>
  <c r="H9" i="39"/>
  <c r="J9" i="39"/>
  <c r="F21" i="39"/>
  <c r="D21" i="39"/>
  <c r="C21" i="39"/>
  <c r="A2" i="39"/>
  <c r="H42" i="39" l="1"/>
  <c r="E25" i="40"/>
  <c r="E26" i="40"/>
  <c r="D19" i="40"/>
  <c r="D18" i="40"/>
  <c r="D26" i="40"/>
  <c r="D25" i="40"/>
  <c r="M42" i="39"/>
  <c r="G42" i="39"/>
  <c r="L8" i="39"/>
  <c r="L12" i="39"/>
  <c r="L13" i="39"/>
  <c r="L14" i="39"/>
  <c r="L20" i="39"/>
  <c r="I20" i="39"/>
  <c r="H20" i="39"/>
  <c r="M20" i="39"/>
  <c r="G20" i="39"/>
  <c r="F97" i="39"/>
  <c r="H10" i="39"/>
  <c r="H11" i="39"/>
  <c r="H13" i="39"/>
  <c r="H15" i="39"/>
  <c r="K20" i="39"/>
  <c r="I8" i="39"/>
  <c r="I9" i="39"/>
  <c r="I11" i="39"/>
  <c r="E21" i="39"/>
  <c r="H21" i="39" s="1"/>
  <c r="K8" i="39"/>
  <c r="K9" i="39"/>
  <c r="K10" i="39"/>
  <c r="L18" i="39"/>
  <c r="I18" i="39"/>
  <c r="M18" i="39"/>
  <c r="G18" i="39"/>
  <c r="J19" i="39"/>
  <c r="J20" i="39"/>
  <c r="C95" i="39"/>
  <c r="D96" i="39"/>
  <c r="E97" i="39"/>
  <c r="F98" i="39"/>
  <c r="C101" i="39"/>
  <c r="D102" i="39"/>
  <c r="E103" i="39"/>
  <c r="G8" i="39"/>
  <c r="M8" i="39"/>
  <c r="G9" i="39"/>
  <c r="M9" i="39"/>
  <c r="G10" i="39"/>
  <c r="M10" i="39"/>
  <c r="G11" i="39"/>
  <c r="M11" i="39"/>
  <c r="G12" i="39"/>
  <c r="M12" i="39"/>
  <c r="G13" i="39"/>
  <c r="M13" i="39"/>
  <c r="G14" i="39"/>
  <c r="M14" i="39"/>
  <c r="G15" i="39"/>
  <c r="E95" i="39"/>
  <c r="F96" i="39"/>
  <c r="C99" i="39"/>
  <c r="D100" i="39"/>
  <c r="E101" i="39"/>
  <c r="F102" i="39"/>
  <c r="E107" i="39"/>
  <c r="H12" i="39"/>
  <c r="F95" i="39"/>
  <c r="C98" i="39"/>
  <c r="F101" i="39"/>
  <c r="E106" i="39"/>
  <c r="L19" i="39"/>
  <c r="I19" i="39"/>
  <c r="H19" i="39"/>
  <c r="M19" i="39"/>
  <c r="G19" i="39"/>
  <c r="H8" i="39"/>
  <c r="I14" i="39"/>
  <c r="L16" i="39"/>
  <c r="M16" i="39"/>
  <c r="G16" i="39"/>
  <c r="C97" i="39"/>
  <c r="D98" i="39"/>
  <c r="E99" i="39"/>
  <c r="F100" i="39"/>
  <c r="E105" i="39"/>
  <c r="L9" i="39"/>
  <c r="K19" i="39"/>
  <c r="J8" i="39"/>
  <c r="J15" i="39"/>
  <c r="I15" i="39"/>
  <c r="L15" i="39"/>
  <c r="L17" i="39"/>
  <c r="I17" i="39"/>
  <c r="M17" i="39"/>
  <c r="G17" i="39"/>
  <c r="J18" i="39"/>
  <c r="C96" i="39"/>
  <c r="D97" i="39"/>
  <c r="E98" i="39"/>
  <c r="F99" i="39"/>
  <c r="E104" i="39"/>
  <c r="I35" i="39"/>
  <c r="I36" i="39"/>
  <c r="I37" i="39"/>
  <c r="L52" i="39"/>
  <c r="L53" i="39"/>
  <c r="L54" i="39"/>
  <c r="L55" i="39"/>
  <c r="L56" i="39"/>
  <c r="L57" i="39"/>
  <c r="L58" i="39"/>
  <c r="L59" i="39"/>
  <c r="L60" i="39"/>
  <c r="L61" i="39"/>
  <c r="L62" i="39"/>
  <c r="L63" i="39"/>
  <c r="L64" i="39"/>
  <c r="F87" i="39"/>
  <c r="J35" i="39"/>
  <c r="J42" i="39" s="1"/>
  <c r="G52" i="39"/>
  <c r="M52" i="39"/>
  <c r="G53" i="39"/>
  <c r="M53" i="39"/>
  <c r="G54" i="39"/>
  <c r="M54" i="39"/>
  <c r="G55" i="39"/>
  <c r="M55" i="39"/>
  <c r="G56" i="39"/>
  <c r="M56" i="39"/>
  <c r="G57" i="39"/>
  <c r="M57" i="39"/>
  <c r="G58" i="39"/>
  <c r="M58" i="39"/>
  <c r="G59" i="39"/>
  <c r="M59" i="39"/>
  <c r="G60" i="39"/>
  <c r="M60" i="39"/>
  <c r="G61" i="39"/>
  <c r="M61" i="39"/>
  <c r="G62" i="39"/>
  <c r="M62" i="39"/>
  <c r="G63" i="39"/>
  <c r="M63" i="39"/>
  <c r="G64" i="39"/>
  <c r="M64" i="39"/>
  <c r="I16" i="39"/>
  <c r="K35" i="39"/>
  <c r="K36" i="39"/>
  <c r="K37" i="39"/>
  <c r="K38" i="39"/>
  <c r="K39" i="39"/>
  <c r="K40" i="39"/>
  <c r="K41" i="39"/>
  <c r="F42" i="39"/>
  <c r="H52" i="39"/>
  <c r="H53" i="39"/>
  <c r="H54" i="39"/>
  <c r="H55" i="39"/>
  <c r="H56" i="39"/>
  <c r="H57" i="39"/>
  <c r="H58" i="39"/>
  <c r="H59" i="39"/>
  <c r="H60" i="39"/>
  <c r="H61" i="39"/>
  <c r="H62" i="39"/>
  <c r="H63" i="39"/>
  <c r="H64" i="39"/>
  <c r="L33" i="39"/>
  <c r="L34" i="39"/>
  <c r="L35" i="39"/>
  <c r="I52" i="39"/>
  <c r="I53" i="39"/>
  <c r="I54" i="39"/>
  <c r="I55" i="39"/>
  <c r="I56" i="39"/>
  <c r="I57" i="39"/>
  <c r="I58" i="39"/>
  <c r="I59" i="39"/>
  <c r="I60" i="39"/>
  <c r="I61" i="39"/>
  <c r="I62" i="39"/>
  <c r="I63" i="39"/>
  <c r="I64" i="39"/>
  <c r="C87" i="39"/>
  <c r="J52" i="39"/>
  <c r="J53" i="39"/>
  <c r="J54" i="39"/>
  <c r="J55" i="39"/>
  <c r="J56" i="39"/>
  <c r="J57" i="39"/>
  <c r="J58" i="39"/>
  <c r="J59" i="39"/>
  <c r="J60" i="39"/>
  <c r="J61" i="39"/>
  <c r="J62" i="39"/>
  <c r="J63" i="39"/>
  <c r="J64" i="39"/>
  <c r="D87" i="39"/>
  <c r="E87" i="39"/>
  <c r="D27" i="40" l="1"/>
  <c r="E18" i="40"/>
  <c r="D20" i="40"/>
  <c r="D21" i="40" s="1"/>
  <c r="E27" i="40"/>
  <c r="L42" i="39"/>
  <c r="I42" i="39"/>
  <c r="K42" i="39"/>
  <c r="D108" i="39"/>
  <c r="D109" i="39" s="1"/>
  <c r="G21" i="39"/>
  <c r="F108" i="39"/>
  <c r="F109" i="39" s="1"/>
  <c r="C108" i="39"/>
  <c r="C109" i="39" s="1"/>
  <c r="E108" i="39"/>
  <c r="E109" i="39" s="1"/>
  <c r="I21" i="39"/>
  <c r="L21" i="39"/>
  <c r="J21" i="39"/>
  <c r="M21" i="39"/>
  <c r="K21" i="39"/>
  <c r="M102" i="39"/>
  <c r="M105" i="39"/>
  <c r="L100" i="39"/>
  <c r="L104" i="39"/>
  <c r="L105" i="39"/>
  <c r="K100" i="39"/>
  <c r="K102" i="39"/>
  <c r="K104" i="39"/>
  <c r="K105" i="39"/>
  <c r="J102" i="39"/>
  <c r="J104" i="39"/>
  <c r="J105" i="39"/>
  <c r="H102" i="39"/>
  <c r="H100" i="39"/>
  <c r="G102" i="39"/>
  <c r="H104" i="39"/>
  <c r="H105" i="39"/>
  <c r="G100" i="39"/>
  <c r="G104" i="39"/>
  <c r="D28" i="40" l="1"/>
  <c r="E19" i="40" s="1"/>
  <c r="E20" i="40" s="1"/>
  <c r="E21" i="40" s="1"/>
  <c r="H4" i="40" s="1"/>
  <c r="L102" i="39"/>
  <c r="M104" i="39"/>
  <c r="G105" i="39"/>
  <c r="J100" i="39"/>
  <c r="I105" i="39"/>
  <c r="M100" i="39"/>
  <c r="I104" i="39"/>
  <c r="I100" i="39" l="1"/>
  <c r="I102" i="39"/>
  <c r="M103" i="39"/>
  <c r="G103" i="39"/>
  <c r="I103" i="39"/>
  <c r="H103" i="39"/>
  <c r="K103" i="39"/>
  <c r="J103" i="39"/>
  <c r="L103" i="39"/>
  <c r="M106" i="39" l="1"/>
  <c r="L106" i="39"/>
  <c r="I106" i="39"/>
  <c r="H106" i="39"/>
  <c r="J106" i="39"/>
  <c r="G106" i="39"/>
  <c r="K106" i="39"/>
  <c r="L97" i="39"/>
  <c r="K97" i="39"/>
  <c r="J97" i="39"/>
  <c r="I97" i="39"/>
  <c r="M97" i="39"/>
  <c r="G97" i="39"/>
  <c r="H97" i="39"/>
  <c r="M107" i="39"/>
  <c r="L107" i="39"/>
  <c r="I107" i="39"/>
  <c r="J107" i="39"/>
  <c r="K107" i="39"/>
  <c r="G107" i="39"/>
  <c r="H107" i="39"/>
  <c r="M101" i="39"/>
  <c r="I101" i="39"/>
  <c r="K101" i="39"/>
  <c r="J101" i="39"/>
  <c r="G101" i="39"/>
  <c r="H101" i="39"/>
  <c r="L101" i="39"/>
  <c r="M98" i="39"/>
  <c r="I98" i="39"/>
  <c r="L98" i="39"/>
  <c r="H98" i="39"/>
  <c r="J98" i="39"/>
  <c r="K98" i="39"/>
  <c r="G98" i="39"/>
  <c r="M99" i="39"/>
  <c r="G99" i="39"/>
  <c r="K99" i="39"/>
  <c r="J99" i="39"/>
  <c r="L99" i="39"/>
  <c r="H99" i="39"/>
  <c r="I99" i="39"/>
  <c r="M96" i="39"/>
  <c r="K96" i="39"/>
  <c r="J96" i="39"/>
  <c r="L96" i="39"/>
  <c r="I96" i="39"/>
  <c r="G96" i="39"/>
  <c r="H96" i="39"/>
  <c r="H95" i="39" l="1"/>
  <c r="H108" i="39" s="1"/>
  <c r="H87" i="39"/>
  <c r="K95" i="39"/>
  <c r="K108" i="39" s="1"/>
  <c r="K87" i="39"/>
  <c r="M95" i="39"/>
  <c r="M108" i="39" s="1"/>
  <c r="M87" i="39"/>
  <c r="I95" i="39"/>
  <c r="I108" i="39" s="1"/>
  <c r="I87" i="39"/>
  <c r="L95" i="39"/>
  <c r="L108" i="39" s="1"/>
  <c r="L87" i="39"/>
  <c r="G95" i="39"/>
  <c r="G108" i="39" s="1"/>
  <c r="G87" i="39"/>
  <c r="J95" i="39"/>
  <c r="J108" i="39" s="1"/>
  <c r="J87" i="39"/>
  <c r="G109" i="39" l="1"/>
  <c r="M109" i="39"/>
  <c r="L109" i="39"/>
  <c r="K109" i="39"/>
  <c r="J109" i="39"/>
  <c r="I109" i="39"/>
  <c r="H109" i="39"/>
  <c r="D7" i="11" l="1"/>
  <c r="E8" i="11"/>
  <c r="E7" i="11" s="1"/>
  <c r="F8" i="11"/>
  <c r="G8" i="11" s="1"/>
  <c r="G7" i="11" s="1"/>
  <c r="B10" i="11"/>
  <c r="D29" i="7"/>
  <c r="C50" i="20" s="1"/>
  <c r="D37" i="32"/>
  <c r="F8" i="32"/>
  <c r="F29" i="32"/>
  <c r="K29" i="32" s="1"/>
  <c r="G29" i="7"/>
  <c r="F50" i="20" s="1"/>
  <c r="F9" i="32"/>
  <c r="F96" i="32" s="1"/>
  <c r="F30" i="32"/>
  <c r="M30" i="32"/>
  <c r="G30" i="7"/>
  <c r="F51" i="20" s="1"/>
  <c r="F10" i="32"/>
  <c r="F31" i="32"/>
  <c r="L31" i="32" s="1"/>
  <c r="D31" i="7"/>
  <c r="G31" i="7"/>
  <c r="F11" i="32"/>
  <c r="F32" i="32"/>
  <c r="I32" i="32" s="1"/>
  <c r="D32" i="7"/>
  <c r="G32" i="7"/>
  <c r="F12" i="32"/>
  <c r="F33" i="32"/>
  <c r="F33" i="7"/>
  <c r="G33" i="7"/>
  <c r="F13" i="32"/>
  <c r="F34" i="32"/>
  <c r="J34" i="32" s="1"/>
  <c r="F14" i="32"/>
  <c r="F35" i="32"/>
  <c r="G35" i="7"/>
  <c r="F15" i="32"/>
  <c r="F36" i="32"/>
  <c r="L36" i="32" s="1"/>
  <c r="F16" i="32"/>
  <c r="F37" i="32"/>
  <c r="M37" i="32" s="1"/>
  <c r="D37" i="7"/>
  <c r="G37" i="7"/>
  <c r="F19" i="32"/>
  <c r="F40" i="32"/>
  <c r="H40" i="32" s="1"/>
  <c r="G40" i="7"/>
  <c r="F61" i="20" s="1"/>
  <c r="F20" i="32"/>
  <c r="F41" i="32"/>
  <c r="D41" i="7"/>
  <c r="C62" i="20" s="1"/>
  <c r="F41" i="7"/>
  <c r="F38" i="32"/>
  <c r="F17" i="32"/>
  <c r="F39" i="32"/>
  <c r="I39" i="32" s="1"/>
  <c r="F18" i="32"/>
  <c r="L29" i="32"/>
  <c r="L30" i="32"/>
  <c r="L37" i="32"/>
  <c r="K30" i="32"/>
  <c r="K31" i="32"/>
  <c r="K38" i="32"/>
  <c r="J29" i="32"/>
  <c r="J30" i="32"/>
  <c r="J31" i="32"/>
  <c r="I29" i="32"/>
  <c r="I30" i="32"/>
  <c r="I31" i="32"/>
  <c r="B172" i="20"/>
  <c r="O173" i="20"/>
  <c r="F74" i="32"/>
  <c r="F95" i="32" s="1"/>
  <c r="F75" i="32"/>
  <c r="F76" i="32"/>
  <c r="F77" i="32"/>
  <c r="F78" i="32"/>
  <c r="F79" i="32"/>
  <c r="F80" i="32"/>
  <c r="F81" i="32"/>
  <c r="F82" i="32"/>
  <c r="F83" i="32"/>
  <c r="F84" i="32"/>
  <c r="F85" i="32"/>
  <c r="F86" i="32"/>
  <c r="E40" i="32"/>
  <c r="D29" i="32"/>
  <c r="D75" i="32"/>
  <c r="D76" i="32"/>
  <c r="C8" i="32"/>
  <c r="C9" i="32"/>
  <c r="C10" i="32"/>
  <c r="C11" i="32"/>
  <c r="C12" i="32"/>
  <c r="C13" i="32"/>
  <c r="C14" i="32"/>
  <c r="C15" i="32"/>
  <c r="C16" i="32"/>
  <c r="C17" i="32"/>
  <c r="C18" i="32"/>
  <c r="C19" i="32"/>
  <c r="C20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74" i="32"/>
  <c r="C75" i="32"/>
  <c r="C76" i="32"/>
  <c r="C77" i="32"/>
  <c r="C78" i="32"/>
  <c r="C79" i="32"/>
  <c r="C80" i="32"/>
  <c r="C101" i="32" s="1"/>
  <c r="C81" i="32"/>
  <c r="C82" i="32"/>
  <c r="C83" i="32"/>
  <c r="C84" i="32"/>
  <c r="C85" i="32"/>
  <c r="C86" i="32"/>
  <c r="F80" i="25"/>
  <c r="E80" i="25"/>
  <c r="D80" i="25"/>
  <c r="C80" i="25"/>
  <c r="F41" i="25"/>
  <c r="E41" i="25"/>
  <c r="D41" i="25"/>
  <c r="C41" i="25"/>
  <c r="F21" i="25"/>
  <c r="E21" i="25"/>
  <c r="G94" i="37" s="1"/>
  <c r="D21" i="25"/>
  <c r="C21" i="25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G23" i="7"/>
  <c r="G14" i="21"/>
  <c r="F23" i="7"/>
  <c r="F76" i="7" s="1"/>
  <c r="F9" i="21"/>
  <c r="F20" i="21"/>
  <c r="E23" i="7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D23" i="7"/>
  <c r="H91" i="37"/>
  <c r="G91" i="37"/>
  <c r="F91" i="37"/>
  <c r="H90" i="37"/>
  <c r="G90" i="37"/>
  <c r="F90" i="37"/>
  <c r="H89" i="37"/>
  <c r="G89" i="37"/>
  <c r="F89" i="37"/>
  <c r="H88" i="37"/>
  <c r="G88" i="37"/>
  <c r="F88" i="37"/>
  <c r="H87" i="37"/>
  <c r="G87" i="37"/>
  <c r="F87" i="37"/>
  <c r="H86" i="37"/>
  <c r="G86" i="37"/>
  <c r="F86" i="37"/>
  <c r="H85" i="37"/>
  <c r="G85" i="37"/>
  <c r="F85" i="37"/>
  <c r="H84" i="37"/>
  <c r="G84" i="37"/>
  <c r="F84" i="37"/>
  <c r="H83" i="37"/>
  <c r="G83" i="37"/>
  <c r="F83" i="37"/>
  <c r="H82" i="37"/>
  <c r="G82" i="37"/>
  <c r="F82" i="37"/>
  <c r="H81" i="37"/>
  <c r="G81" i="37"/>
  <c r="F81" i="37"/>
  <c r="H80" i="37"/>
  <c r="G80" i="37"/>
  <c r="F80" i="37"/>
  <c r="H79" i="37"/>
  <c r="G79" i="37"/>
  <c r="F79" i="37"/>
  <c r="H78" i="37"/>
  <c r="G78" i="37"/>
  <c r="F78" i="37"/>
  <c r="H77" i="37"/>
  <c r="G77" i="37"/>
  <c r="F77" i="37"/>
  <c r="H76" i="37"/>
  <c r="G76" i="37"/>
  <c r="F76" i="37"/>
  <c r="H75" i="37"/>
  <c r="G75" i="37"/>
  <c r="F75" i="37"/>
  <c r="H74" i="37"/>
  <c r="G74" i="37"/>
  <c r="F74" i="37"/>
  <c r="H73" i="37"/>
  <c r="G73" i="37"/>
  <c r="F73" i="37"/>
  <c r="H72" i="37"/>
  <c r="G72" i="37"/>
  <c r="F72" i="37"/>
  <c r="H71" i="37"/>
  <c r="G71" i="37"/>
  <c r="F71" i="37"/>
  <c r="H70" i="37"/>
  <c r="G70" i="37"/>
  <c r="F70" i="37"/>
  <c r="H69" i="37"/>
  <c r="G69" i="37"/>
  <c r="F69" i="37"/>
  <c r="H68" i="37"/>
  <c r="G68" i="37"/>
  <c r="F68" i="37"/>
  <c r="H67" i="37"/>
  <c r="G67" i="37"/>
  <c r="F67" i="37"/>
  <c r="H66" i="37"/>
  <c r="G66" i="37"/>
  <c r="F66" i="37"/>
  <c r="H65" i="37"/>
  <c r="G65" i="37"/>
  <c r="F65" i="37"/>
  <c r="H64" i="37"/>
  <c r="G64" i="37"/>
  <c r="F64" i="37"/>
  <c r="H63" i="37"/>
  <c r="G63" i="37"/>
  <c r="F63" i="37"/>
  <c r="H62" i="37"/>
  <c r="G62" i="37"/>
  <c r="F62" i="37"/>
  <c r="H61" i="37"/>
  <c r="G61" i="37"/>
  <c r="F61" i="37"/>
  <c r="H60" i="37"/>
  <c r="G60" i="37"/>
  <c r="F60" i="37"/>
  <c r="H59" i="37"/>
  <c r="G59" i="37"/>
  <c r="F59" i="37"/>
  <c r="H58" i="37"/>
  <c r="G58" i="37"/>
  <c r="F58" i="37"/>
  <c r="H57" i="37"/>
  <c r="G57" i="37"/>
  <c r="F57" i="37"/>
  <c r="H56" i="37"/>
  <c r="G56" i="37"/>
  <c r="F56" i="37"/>
  <c r="H55" i="37"/>
  <c r="G55" i="37"/>
  <c r="F55" i="37"/>
  <c r="H54" i="37"/>
  <c r="G54" i="37"/>
  <c r="F54" i="37"/>
  <c r="H53" i="37"/>
  <c r="G53" i="37"/>
  <c r="F53" i="37"/>
  <c r="H52" i="37"/>
  <c r="G52" i="37"/>
  <c r="F52" i="37"/>
  <c r="H51" i="37"/>
  <c r="G51" i="37"/>
  <c r="F51" i="37"/>
  <c r="H50" i="37"/>
  <c r="G50" i="37"/>
  <c r="F50" i="37"/>
  <c r="H49" i="37"/>
  <c r="G49" i="37"/>
  <c r="F49" i="37"/>
  <c r="H48" i="37"/>
  <c r="G48" i="37"/>
  <c r="F48" i="37"/>
  <c r="H47" i="37"/>
  <c r="G47" i="37"/>
  <c r="F47" i="37"/>
  <c r="H46" i="37"/>
  <c r="G46" i="37"/>
  <c r="F46" i="37"/>
  <c r="H45" i="37"/>
  <c r="G45" i="37"/>
  <c r="F45" i="37"/>
  <c r="H44" i="37"/>
  <c r="G44" i="37"/>
  <c r="F44" i="37"/>
  <c r="H43" i="37"/>
  <c r="G43" i="37"/>
  <c r="F43" i="37"/>
  <c r="H42" i="37"/>
  <c r="G42" i="37"/>
  <c r="F42" i="37"/>
  <c r="H41" i="37"/>
  <c r="G41" i="37"/>
  <c r="F41" i="37"/>
  <c r="H40" i="37"/>
  <c r="G40" i="37"/>
  <c r="F40" i="37"/>
  <c r="H39" i="37"/>
  <c r="G39" i="37"/>
  <c r="F39" i="37"/>
  <c r="H38" i="37"/>
  <c r="G38" i="37"/>
  <c r="F38" i="37"/>
  <c r="H37" i="37"/>
  <c r="G37" i="37"/>
  <c r="F37" i="37"/>
  <c r="H36" i="37"/>
  <c r="G36" i="37"/>
  <c r="F36" i="37"/>
  <c r="H35" i="37"/>
  <c r="G35" i="37"/>
  <c r="F35" i="37"/>
  <c r="H34" i="37"/>
  <c r="G34" i="37"/>
  <c r="F34" i="37"/>
  <c r="H33" i="37"/>
  <c r="G33" i="37"/>
  <c r="F33" i="37"/>
  <c r="H32" i="37"/>
  <c r="G32" i="37"/>
  <c r="F32" i="37"/>
  <c r="H31" i="37"/>
  <c r="G31" i="37"/>
  <c r="F31" i="37"/>
  <c r="H30" i="37"/>
  <c r="G30" i="37"/>
  <c r="F30" i="37"/>
  <c r="H29" i="37"/>
  <c r="G29" i="37"/>
  <c r="F29" i="37"/>
  <c r="H28" i="37"/>
  <c r="G28" i="37"/>
  <c r="F28" i="37"/>
  <c r="H27" i="37"/>
  <c r="G27" i="37"/>
  <c r="F27" i="37"/>
  <c r="H26" i="37"/>
  <c r="G26" i="37"/>
  <c r="F26" i="37"/>
  <c r="H25" i="37"/>
  <c r="G25" i="37"/>
  <c r="F25" i="37"/>
  <c r="H24" i="37"/>
  <c r="G24" i="37"/>
  <c r="F24" i="37"/>
  <c r="H23" i="37"/>
  <c r="G23" i="37"/>
  <c r="F23" i="37"/>
  <c r="H22" i="37"/>
  <c r="G22" i="37"/>
  <c r="F22" i="37"/>
  <c r="H21" i="37"/>
  <c r="G21" i="37"/>
  <c r="F21" i="37"/>
  <c r="H20" i="37"/>
  <c r="G20" i="37"/>
  <c r="F20" i="37"/>
  <c r="H19" i="37"/>
  <c r="G19" i="37"/>
  <c r="F19" i="37"/>
  <c r="H18" i="37"/>
  <c r="G18" i="37"/>
  <c r="F18" i="37"/>
  <c r="H17" i="37"/>
  <c r="G17" i="37"/>
  <c r="F17" i="37"/>
  <c r="H16" i="37"/>
  <c r="G16" i="37"/>
  <c r="F16" i="37"/>
  <c r="H15" i="37"/>
  <c r="G15" i="37"/>
  <c r="F15" i="37"/>
  <c r="H14" i="37"/>
  <c r="G14" i="37"/>
  <c r="F14" i="37"/>
  <c r="H13" i="37"/>
  <c r="G13" i="37"/>
  <c r="F13" i="37"/>
  <c r="H12" i="37"/>
  <c r="G12" i="37"/>
  <c r="F12" i="37"/>
  <c r="H11" i="37"/>
  <c r="G11" i="37"/>
  <c r="F11" i="37"/>
  <c r="H10" i="37"/>
  <c r="G10" i="37"/>
  <c r="F10" i="37"/>
  <c r="H9" i="37"/>
  <c r="H8" i="37"/>
  <c r="G9" i="37"/>
  <c r="G8" i="37"/>
  <c r="F9" i="37"/>
  <c r="F8" i="37"/>
  <c r="H94" i="37"/>
  <c r="F94" i="37"/>
  <c r="H95" i="7"/>
  <c r="G19" i="20" s="1"/>
  <c r="I41" i="21" s="1"/>
  <c r="H84" i="7"/>
  <c r="G8" i="20" s="1"/>
  <c r="D75" i="7"/>
  <c r="D88" i="25"/>
  <c r="B109" i="20"/>
  <c r="C111" i="20"/>
  <c r="B130" i="20"/>
  <c r="C132" i="20"/>
  <c r="D34" i="7"/>
  <c r="C55" i="20" s="1"/>
  <c r="F34" i="7"/>
  <c r="E55" i="20" s="1"/>
  <c r="G34" i="7"/>
  <c r="D35" i="7"/>
  <c r="C56" i="20" s="1"/>
  <c r="D36" i="7"/>
  <c r="C57" i="20" s="1"/>
  <c r="E36" i="7"/>
  <c r="D57" i="20" s="1"/>
  <c r="G36" i="7"/>
  <c r="D38" i="7"/>
  <c r="C59" i="20" s="1"/>
  <c r="E38" i="7"/>
  <c r="D80" i="20" s="1"/>
  <c r="G38" i="7"/>
  <c r="F59" i="20" s="1"/>
  <c r="D39" i="7"/>
  <c r="C60" i="20" s="1"/>
  <c r="E39" i="7"/>
  <c r="D81" i="20" s="1"/>
  <c r="G39" i="7"/>
  <c r="F60" i="20" s="1"/>
  <c r="G41" i="7"/>
  <c r="F62" i="20" s="1"/>
  <c r="D42" i="7"/>
  <c r="G42" i="7"/>
  <c r="H87" i="7"/>
  <c r="C6" i="30"/>
  <c r="C93" i="32"/>
  <c r="C72" i="32"/>
  <c r="O152" i="20"/>
  <c r="C90" i="20"/>
  <c r="C69" i="20"/>
  <c r="C48" i="20"/>
  <c r="F57" i="20"/>
  <c r="F54" i="20"/>
  <c r="C53" i="20"/>
  <c r="F52" i="20"/>
  <c r="C52" i="20"/>
  <c r="B29" i="7"/>
  <c r="C29" i="7"/>
  <c r="B30" i="7"/>
  <c r="C30" i="7"/>
  <c r="B31" i="7"/>
  <c r="C31" i="7"/>
  <c r="B32" i="7"/>
  <c r="C32" i="7"/>
  <c r="B33" i="7"/>
  <c r="C33" i="7"/>
  <c r="B34" i="7"/>
  <c r="C34" i="7"/>
  <c r="B35" i="7"/>
  <c r="C35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C9" i="17"/>
  <c r="C10" i="17"/>
  <c r="C11" i="17"/>
  <c r="C12" i="17"/>
  <c r="C13" i="17"/>
  <c r="C14" i="17"/>
  <c r="C15" i="17"/>
  <c r="C16" i="17"/>
  <c r="C17" i="17"/>
  <c r="C18" i="17"/>
  <c r="C19" i="17"/>
  <c r="C20" i="17"/>
  <c r="C8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D9" i="17"/>
  <c r="E9" i="17"/>
  <c r="F9" i="17"/>
  <c r="G9" i="17"/>
  <c r="H9" i="17"/>
  <c r="I9" i="17"/>
  <c r="J9" i="17"/>
  <c r="J9" i="20" s="1"/>
  <c r="K9" i="20" s="1"/>
  <c r="L9" i="20" s="1"/>
  <c r="M9" i="20" s="1"/>
  <c r="K9" i="17"/>
  <c r="L9" i="17"/>
  <c r="M9" i="17"/>
  <c r="D12" i="17"/>
  <c r="E12" i="17"/>
  <c r="F12" i="17"/>
  <c r="G12" i="17"/>
  <c r="H12" i="17"/>
  <c r="I12" i="17"/>
  <c r="J12" i="17"/>
  <c r="K12" i="17"/>
  <c r="L12" i="17"/>
  <c r="M12" i="17"/>
  <c r="D13" i="17"/>
  <c r="E13" i="17"/>
  <c r="F13" i="17"/>
  <c r="G13" i="17"/>
  <c r="H13" i="17"/>
  <c r="I13" i="17"/>
  <c r="J13" i="17"/>
  <c r="K13" i="17"/>
  <c r="L13" i="17"/>
  <c r="M13" i="17"/>
  <c r="D15" i="17"/>
  <c r="E15" i="17"/>
  <c r="F15" i="17"/>
  <c r="G15" i="17"/>
  <c r="H15" i="17"/>
  <c r="I15" i="17"/>
  <c r="J15" i="17"/>
  <c r="K15" i="17"/>
  <c r="L15" i="17"/>
  <c r="M15" i="17"/>
  <c r="D17" i="17"/>
  <c r="E17" i="17"/>
  <c r="F17" i="17"/>
  <c r="G17" i="17"/>
  <c r="H17" i="17"/>
  <c r="I17" i="17"/>
  <c r="J17" i="17"/>
  <c r="K17" i="17"/>
  <c r="L17" i="17"/>
  <c r="M17" i="17"/>
  <c r="D18" i="17"/>
  <c r="E18" i="17"/>
  <c r="F18" i="17"/>
  <c r="G18" i="17"/>
  <c r="H18" i="17"/>
  <c r="I18" i="17"/>
  <c r="J18" i="17"/>
  <c r="K18" i="17"/>
  <c r="L18" i="17"/>
  <c r="M18" i="17"/>
  <c r="D20" i="17"/>
  <c r="E20" i="17"/>
  <c r="F20" i="17"/>
  <c r="G20" i="17"/>
  <c r="H20" i="17"/>
  <c r="I20" i="17"/>
  <c r="J20" i="17"/>
  <c r="K20" i="17"/>
  <c r="L20" i="17"/>
  <c r="M20" i="17"/>
  <c r="G18" i="20"/>
  <c r="H18" i="20" s="1"/>
  <c r="G17" i="20"/>
  <c r="H96" i="7"/>
  <c r="G20" i="20" s="1"/>
  <c r="H92" i="7"/>
  <c r="G16" i="20" s="1"/>
  <c r="H91" i="7"/>
  <c r="H90" i="7"/>
  <c r="G14" i="20" s="1"/>
  <c r="H85" i="7"/>
  <c r="G9" i="20" s="1"/>
  <c r="H86" i="7"/>
  <c r="G10" i="20" s="1"/>
  <c r="G11" i="20"/>
  <c r="H11" i="20" s="1"/>
  <c r="I11" i="20" s="1"/>
  <c r="J11" i="20" s="1"/>
  <c r="K11" i="20" s="1"/>
  <c r="L11" i="20" s="1"/>
  <c r="M11" i="20" s="1"/>
  <c r="H88" i="7"/>
  <c r="G12" i="20" s="1"/>
  <c r="H12" i="20" s="1"/>
  <c r="I12" i="20" s="1"/>
  <c r="J12" i="20" s="1"/>
  <c r="K12" i="20" s="1"/>
  <c r="L12" i="20" s="1"/>
  <c r="M12" i="20" s="1"/>
  <c r="H89" i="7"/>
  <c r="G13" i="20"/>
  <c r="G55" i="20" s="1"/>
  <c r="B151" i="20"/>
  <c r="B88" i="20"/>
  <c r="B46" i="20"/>
  <c r="E41" i="21"/>
  <c r="F41" i="21"/>
  <c r="G41" i="21"/>
  <c r="H41" i="21"/>
  <c r="E28" i="21"/>
  <c r="F28" i="21"/>
  <c r="G28" i="21"/>
  <c r="H28" i="21"/>
  <c r="E29" i="21"/>
  <c r="F29" i="21"/>
  <c r="G29" i="21"/>
  <c r="H29" i="21"/>
  <c r="E30" i="21"/>
  <c r="F30" i="21"/>
  <c r="G30" i="21"/>
  <c r="H30" i="21"/>
  <c r="E31" i="21"/>
  <c r="F31" i="21"/>
  <c r="G31" i="21"/>
  <c r="H31" i="21"/>
  <c r="E32" i="21"/>
  <c r="F32" i="21"/>
  <c r="G32" i="21"/>
  <c r="H32" i="21"/>
  <c r="E33" i="21"/>
  <c r="F33" i="21"/>
  <c r="G33" i="21"/>
  <c r="H33" i="21"/>
  <c r="E34" i="21"/>
  <c r="F34" i="21"/>
  <c r="G34" i="21"/>
  <c r="H34" i="21"/>
  <c r="E35" i="21"/>
  <c r="F35" i="21"/>
  <c r="G35" i="21"/>
  <c r="H35" i="21"/>
  <c r="E36" i="21"/>
  <c r="F36" i="21"/>
  <c r="G36" i="21"/>
  <c r="H36" i="21"/>
  <c r="E37" i="21"/>
  <c r="F37" i="21"/>
  <c r="G37" i="21"/>
  <c r="H37" i="21"/>
  <c r="E38" i="21"/>
  <c r="F38" i="21"/>
  <c r="G38" i="21"/>
  <c r="H38" i="21"/>
  <c r="E39" i="21"/>
  <c r="F39" i="21"/>
  <c r="G39" i="21"/>
  <c r="H39" i="21"/>
  <c r="E40" i="21"/>
  <c r="F40" i="21"/>
  <c r="G40" i="21"/>
  <c r="H40" i="21"/>
  <c r="E27" i="21"/>
  <c r="F27" i="21"/>
  <c r="F42" i="21" s="1"/>
  <c r="G27" i="21"/>
  <c r="H27" i="21"/>
  <c r="H42" i="21" s="1"/>
  <c r="H43" i="21" s="1"/>
  <c r="E42" i="21"/>
  <c r="E43" i="21" s="1"/>
  <c r="G42" i="21"/>
  <c r="A2" i="37"/>
  <c r="O45" i="8"/>
  <c r="M8" i="17" s="1"/>
  <c r="O47" i="8"/>
  <c r="M10" i="17" s="1"/>
  <c r="O48" i="8"/>
  <c r="M11" i="17" s="1"/>
  <c r="O51" i="8"/>
  <c r="M14" i="17" s="1"/>
  <c r="O53" i="8"/>
  <c r="M16" i="17" s="1"/>
  <c r="O56" i="8"/>
  <c r="M19" i="17" s="1"/>
  <c r="D134" i="7"/>
  <c r="O42" i="20" s="1"/>
  <c r="E134" i="7"/>
  <c r="P42" i="20" s="1"/>
  <c r="F134" i="7"/>
  <c r="Q42" i="20" s="1"/>
  <c r="G134" i="7"/>
  <c r="R42" i="20" s="1"/>
  <c r="E75" i="7"/>
  <c r="F75" i="7"/>
  <c r="G75" i="7"/>
  <c r="G53" i="8"/>
  <c r="E16" i="17"/>
  <c r="H53" i="8"/>
  <c r="F16" i="17" s="1"/>
  <c r="I53" i="8"/>
  <c r="J53" i="8"/>
  <c r="K53" i="8"/>
  <c r="I16" i="17" s="1"/>
  <c r="L53" i="8"/>
  <c r="J16" i="17" s="1"/>
  <c r="M53" i="8"/>
  <c r="K16" i="17" s="1"/>
  <c r="N53" i="8"/>
  <c r="L16" i="17" s="1"/>
  <c r="F53" i="8"/>
  <c r="D16" i="17" s="1"/>
  <c r="G48" i="8"/>
  <c r="E11" i="17" s="1"/>
  <c r="H48" i="8"/>
  <c r="F11" i="17" s="1"/>
  <c r="I48" i="8"/>
  <c r="G11" i="17" s="1"/>
  <c r="J48" i="8"/>
  <c r="H11" i="17" s="1"/>
  <c r="K48" i="8"/>
  <c r="I11" i="17" s="1"/>
  <c r="L48" i="8"/>
  <c r="J11" i="17" s="1"/>
  <c r="M48" i="8"/>
  <c r="K11" i="17" s="1"/>
  <c r="N48" i="8"/>
  <c r="L11" i="17" s="1"/>
  <c r="F48" i="8"/>
  <c r="D11" i="17" s="1"/>
  <c r="F51" i="8"/>
  <c r="D14" i="17" s="1"/>
  <c r="G51" i="8"/>
  <c r="E14" i="17" s="1"/>
  <c r="H51" i="8"/>
  <c r="F14" i="17" s="1"/>
  <c r="I51" i="8"/>
  <c r="G14" i="17" s="1"/>
  <c r="J51" i="8"/>
  <c r="H14" i="17" s="1"/>
  <c r="K51" i="8"/>
  <c r="I14" i="17" s="1"/>
  <c r="L51" i="8"/>
  <c r="J14" i="17" s="1"/>
  <c r="M51" i="8"/>
  <c r="K14" i="17" s="1"/>
  <c r="N51" i="8"/>
  <c r="L14" i="17" s="1"/>
  <c r="G56" i="8"/>
  <c r="E19" i="17" s="1"/>
  <c r="H56" i="8"/>
  <c r="F19" i="17" s="1"/>
  <c r="I56" i="8"/>
  <c r="G19" i="17" s="1"/>
  <c r="J56" i="8"/>
  <c r="H19" i="17" s="1"/>
  <c r="K56" i="8"/>
  <c r="I19" i="17" s="1"/>
  <c r="L56" i="8"/>
  <c r="J19" i="17" s="1"/>
  <c r="M56" i="8"/>
  <c r="K19" i="17" s="1"/>
  <c r="N56" i="8"/>
  <c r="L19" i="17" s="1"/>
  <c r="F56" i="8"/>
  <c r="D19" i="17" s="1"/>
  <c r="F47" i="8"/>
  <c r="D10" i="17" s="1"/>
  <c r="G47" i="8"/>
  <c r="E10" i="17" s="1"/>
  <c r="H47" i="8"/>
  <c r="F10" i="17" s="1"/>
  <c r="I47" i="8"/>
  <c r="G10" i="17" s="1"/>
  <c r="J47" i="8"/>
  <c r="H10" i="17" s="1"/>
  <c r="K47" i="8"/>
  <c r="I10" i="17" s="1"/>
  <c r="L47" i="8"/>
  <c r="J10" i="17" s="1"/>
  <c r="M47" i="8"/>
  <c r="K10" i="17" s="1"/>
  <c r="N47" i="8"/>
  <c r="L10" i="17" s="1"/>
  <c r="G16" i="17"/>
  <c r="F45" i="8"/>
  <c r="D8" i="17" s="1"/>
  <c r="G45" i="8"/>
  <c r="E8" i="17" s="1"/>
  <c r="H45" i="8"/>
  <c r="F8" i="17" s="1"/>
  <c r="I45" i="8"/>
  <c r="J45" i="8"/>
  <c r="H8" i="17"/>
  <c r="K45" i="8"/>
  <c r="I8" i="17"/>
  <c r="L45" i="8"/>
  <c r="J8" i="17"/>
  <c r="M45" i="8"/>
  <c r="K8" i="17"/>
  <c r="N45" i="8"/>
  <c r="L8" i="17"/>
  <c r="C85" i="7"/>
  <c r="C86" i="7"/>
  <c r="C87" i="7"/>
  <c r="C88" i="7"/>
  <c r="C89" i="7"/>
  <c r="C90" i="7"/>
  <c r="C91" i="7"/>
  <c r="C92" i="7"/>
  <c r="C93" i="7"/>
  <c r="C94" i="7"/>
  <c r="C95" i="7"/>
  <c r="C96" i="7"/>
  <c r="C84" i="7"/>
  <c r="D125" i="7"/>
  <c r="E125" i="7"/>
  <c r="F43" i="21" s="1"/>
  <c r="F125" i="7"/>
  <c r="G43" i="21" s="1"/>
  <c r="G125" i="7"/>
  <c r="G98" i="7" s="1"/>
  <c r="G99" i="7" s="1"/>
  <c r="F98" i="7"/>
  <c r="F99" i="7" s="1"/>
  <c r="D66" i="7"/>
  <c r="D76" i="7"/>
  <c r="E66" i="7"/>
  <c r="F66" i="7"/>
  <c r="G66" i="7"/>
  <c r="G76" i="7"/>
  <c r="C47" i="8"/>
  <c r="C9" i="20"/>
  <c r="D9" i="20"/>
  <c r="E9" i="20"/>
  <c r="F9" i="20"/>
  <c r="C10" i="20"/>
  <c r="D10" i="20"/>
  <c r="E10" i="20"/>
  <c r="C11" i="20"/>
  <c r="D11" i="20"/>
  <c r="E11" i="20"/>
  <c r="C12" i="20"/>
  <c r="D12" i="20"/>
  <c r="E12" i="20"/>
  <c r="C13" i="20"/>
  <c r="D13" i="20"/>
  <c r="E13" i="20"/>
  <c r="F13" i="20"/>
  <c r="C14" i="20"/>
  <c r="D14" i="20"/>
  <c r="E14" i="20"/>
  <c r="C15" i="20"/>
  <c r="D15" i="20"/>
  <c r="E15" i="20"/>
  <c r="F15" i="20"/>
  <c r="C16" i="20"/>
  <c r="D16" i="20"/>
  <c r="E16" i="20"/>
  <c r="C17" i="20"/>
  <c r="D17" i="20"/>
  <c r="E17" i="20"/>
  <c r="F17" i="20"/>
  <c r="C18" i="20"/>
  <c r="D18" i="20"/>
  <c r="E18" i="20"/>
  <c r="F18" i="20"/>
  <c r="C19" i="20"/>
  <c r="D19" i="20"/>
  <c r="E19" i="20"/>
  <c r="C20" i="20"/>
  <c r="D20" i="20"/>
  <c r="E20" i="20"/>
  <c r="C8" i="20"/>
  <c r="D8" i="20"/>
  <c r="P31" i="20" s="1"/>
  <c r="E8" i="20"/>
  <c r="Q34" i="20" s="1"/>
  <c r="I41" i="7"/>
  <c r="F83" i="20" s="1"/>
  <c r="I40" i="7"/>
  <c r="I37" i="7"/>
  <c r="I36" i="7"/>
  <c r="I35" i="7"/>
  <c r="I34" i="7"/>
  <c r="I33" i="7"/>
  <c r="I32" i="7"/>
  <c r="I31" i="7"/>
  <c r="I30" i="7"/>
  <c r="I29" i="7"/>
  <c r="C51" i="8"/>
  <c r="C49" i="8"/>
  <c r="C45" i="8"/>
  <c r="B107" i="32"/>
  <c r="B106" i="32"/>
  <c r="B105" i="32"/>
  <c r="B104" i="32"/>
  <c r="B103" i="32"/>
  <c r="B102" i="32"/>
  <c r="B101" i="32"/>
  <c r="B100" i="32"/>
  <c r="B99" i="32"/>
  <c r="B98" i="32"/>
  <c r="B97" i="32"/>
  <c r="B96" i="32"/>
  <c r="B95" i="32"/>
  <c r="B86" i="32"/>
  <c r="B85" i="32"/>
  <c r="B84" i="32"/>
  <c r="B83" i="32"/>
  <c r="B82" i="32"/>
  <c r="B81" i="32"/>
  <c r="B80" i="32"/>
  <c r="B79" i="32"/>
  <c r="B78" i="32"/>
  <c r="B77" i="32"/>
  <c r="B76" i="32"/>
  <c r="B75" i="32"/>
  <c r="B74" i="32"/>
  <c r="C88" i="25"/>
  <c r="C100" i="25" s="1"/>
  <c r="E88" i="25"/>
  <c r="F88" i="25"/>
  <c r="C89" i="25"/>
  <c r="D89" i="25"/>
  <c r="E89" i="25"/>
  <c r="F89" i="25"/>
  <c r="C90" i="25"/>
  <c r="D90" i="25"/>
  <c r="E90" i="25"/>
  <c r="F90" i="25"/>
  <c r="C91" i="25"/>
  <c r="D91" i="25"/>
  <c r="E91" i="25"/>
  <c r="F91" i="25"/>
  <c r="C92" i="25"/>
  <c r="D92" i="25"/>
  <c r="E92" i="25"/>
  <c r="F92" i="25"/>
  <c r="C93" i="25"/>
  <c r="D93" i="25"/>
  <c r="E93" i="25"/>
  <c r="F93" i="25"/>
  <c r="C94" i="25"/>
  <c r="D94" i="25"/>
  <c r="E94" i="25"/>
  <c r="F94" i="25"/>
  <c r="C95" i="25"/>
  <c r="D95" i="25"/>
  <c r="E95" i="25"/>
  <c r="F95" i="25"/>
  <c r="C96" i="25"/>
  <c r="D96" i="25"/>
  <c r="E96" i="25"/>
  <c r="F96" i="25"/>
  <c r="C97" i="25"/>
  <c r="D97" i="25"/>
  <c r="E97" i="25"/>
  <c r="F97" i="25"/>
  <c r="C98" i="25"/>
  <c r="D98" i="25"/>
  <c r="E98" i="25"/>
  <c r="F98" i="25"/>
  <c r="C99" i="25"/>
  <c r="D99" i="25"/>
  <c r="E99" i="25"/>
  <c r="F99" i="25"/>
  <c r="C87" i="25"/>
  <c r="D87" i="25"/>
  <c r="D100" i="25" s="1"/>
  <c r="E87" i="25"/>
  <c r="F87" i="25"/>
  <c r="F100" i="25" s="1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C53" i="32"/>
  <c r="D53" i="32"/>
  <c r="E53" i="32"/>
  <c r="F53" i="32"/>
  <c r="C54" i="32"/>
  <c r="D54" i="32"/>
  <c r="E54" i="32"/>
  <c r="F54" i="32"/>
  <c r="C55" i="32"/>
  <c r="D55" i="32"/>
  <c r="E55" i="32"/>
  <c r="F55" i="32"/>
  <c r="C56" i="32"/>
  <c r="D56" i="32"/>
  <c r="E56" i="32"/>
  <c r="F56" i="32"/>
  <c r="C57" i="32"/>
  <c r="D57" i="32"/>
  <c r="E57" i="32"/>
  <c r="F57" i="32"/>
  <c r="C58" i="32"/>
  <c r="D58" i="32"/>
  <c r="E58" i="32"/>
  <c r="F58" i="32"/>
  <c r="C59" i="32"/>
  <c r="D59" i="32"/>
  <c r="E59" i="32"/>
  <c r="F59" i="32"/>
  <c r="C60" i="32"/>
  <c r="D60" i="32"/>
  <c r="E60" i="32"/>
  <c r="F60" i="32"/>
  <c r="C61" i="32"/>
  <c r="D61" i="32"/>
  <c r="E61" i="32"/>
  <c r="F61" i="32"/>
  <c r="C62" i="32"/>
  <c r="D62" i="32"/>
  <c r="E62" i="32"/>
  <c r="F62" i="32"/>
  <c r="C63" i="32"/>
  <c r="D63" i="32"/>
  <c r="E63" i="32"/>
  <c r="F63" i="32"/>
  <c r="C64" i="32"/>
  <c r="D64" i="32"/>
  <c r="E64" i="32"/>
  <c r="F64" i="32"/>
  <c r="F52" i="32"/>
  <c r="L52" i="32" s="1"/>
  <c r="C52" i="32"/>
  <c r="D52" i="32"/>
  <c r="E52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29" i="32"/>
  <c r="B9" i="32"/>
  <c r="B10" i="32"/>
  <c r="B11" i="32"/>
  <c r="B12" i="32"/>
  <c r="B13" i="32"/>
  <c r="B14" i="32"/>
  <c r="B15" i="32"/>
  <c r="B16" i="32"/>
  <c r="B17" i="32"/>
  <c r="B18" i="32"/>
  <c r="B19" i="32"/>
  <c r="B20" i="32"/>
  <c r="B8" i="32"/>
  <c r="A2" i="32"/>
  <c r="M52" i="32"/>
  <c r="L63" i="32"/>
  <c r="K63" i="32"/>
  <c r="M63" i="32"/>
  <c r="H62" i="32"/>
  <c r="G62" i="32"/>
  <c r="H61" i="32"/>
  <c r="G61" i="32"/>
  <c r="K61" i="32"/>
  <c r="K60" i="32"/>
  <c r="M60" i="32"/>
  <c r="J59" i="32"/>
  <c r="H59" i="32"/>
  <c r="I59" i="32"/>
  <c r="M58" i="32"/>
  <c r="G58" i="32"/>
  <c r="H57" i="32"/>
  <c r="M57" i="32"/>
  <c r="I57" i="32"/>
  <c r="K56" i="32"/>
  <c r="L56" i="32"/>
  <c r="J56" i="32"/>
  <c r="K55" i="32"/>
  <c r="I55" i="32"/>
  <c r="M55" i="32"/>
  <c r="K54" i="32"/>
  <c r="G54" i="32"/>
  <c r="H53" i="32"/>
  <c r="G53" i="32"/>
  <c r="K53" i="32"/>
  <c r="L64" i="32"/>
  <c r="G64" i="32"/>
  <c r="H33" i="32"/>
  <c r="G33" i="32"/>
  <c r="H35" i="32"/>
  <c r="G35" i="32"/>
  <c r="H31" i="32"/>
  <c r="G31" i="32"/>
  <c r="G37" i="32"/>
  <c r="G29" i="32"/>
  <c r="H29" i="32"/>
  <c r="G38" i="32"/>
  <c r="H38" i="32"/>
  <c r="G30" i="32"/>
  <c r="H30" i="32"/>
  <c r="G41" i="32"/>
  <c r="G40" i="32"/>
  <c r="E100" i="25"/>
  <c r="O35" i="20"/>
  <c r="R27" i="15"/>
  <c r="S27" i="15"/>
  <c r="R28" i="15"/>
  <c r="S28" i="15"/>
  <c r="R29" i="15"/>
  <c r="S29" i="15"/>
  <c r="R30" i="15"/>
  <c r="S30" i="15"/>
  <c r="R31" i="15"/>
  <c r="S31" i="15"/>
  <c r="R32" i="15"/>
  <c r="R33" i="15"/>
  <c r="S33" i="15" s="1"/>
  <c r="R34" i="15"/>
  <c r="S34" i="15" s="1"/>
  <c r="R35" i="15"/>
  <c r="S35" i="15" s="1"/>
  <c r="R36" i="15"/>
  <c r="S36" i="15" s="1"/>
  <c r="R37" i="15"/>
  <c r="S37" i="15" s="1"/>
  <c r="R38" i="15"/>
  <c r="S38" i="15" s="1"/>
  <c r="R26" i="15"/>
  <c r="S26" i="15" s="1"/>
  <c r="D2" i="15" s="1"/>
  <c r="D14" i="5" s="1"/>
  <c r="S32" i="15"/>
  <c r="B9" i="30"/>
  <c r="B10" i="30"/>
  <c r="B11" i="30"/>
  <c r="B12" i="30"/>
  <c r="B13" i="30"/>
  <c r="B14" i="30"/>
  <c r="B15" i="30"/>
  <c r="B16" i="30"/>
  <c r="B17" i="30"/>
  <c r="B18" i="30"/>
  <c r="B19" i="30"/>
  <c r="B20" i="30"/>
  <c r="B8" i="30"/>
  <c r="A2" i="30"/>
  <c r="E97" i="7"/>
  <c r="D97" i="7"/>
  <c r="F97" i="7"/>
  <c r="D27" i="7"/>
  <c r="B85" i="7"/>
  <c r="B9" i="20" s="1"/>
  <c r="B114" i="20" s="1"/>
  <c r="B86" i="7"/>
  <c r="B10" i="20" s="1"/>
  <c r="B115" i="20" s="1"/>
  <c r="B87" i="7"/>
  <c r="B11" i="20" s="1"/>
  <c r="B137" i="20" s="1"/>
  <c r="B88" i="7"/>
  <c r="B12" i="20" s="1"/>
  <c r="B117" i="20" s="1"/>
  <c r="B89" i="7"/>
  <c r="B13" i="20" s="1"/>
  <c r="B139" i="20" s="1"/>
  <c r="B90" i="7"/>
  <c r="B14" i="20" s="1"/>
  <c r="B119" i="20" s="1"/>
  <c r="B91" i="7"/>
  <c r="B15" i="20" s="1"/>
  <c r="B92" i="7"/>
  <c r="B16" i="20" s="1"/>
  <c r="B93" i="7"/>
  <c r="B17" i="20" s="1"/>
  <c r="B122" i="20" s="1"/>
  <c r="B94" i="7"/>
  <c r="B18" i="20" s="1"/>
  <c r="B95" i="7"/>
  <c r="B19" i="20" s="1"/>
  <c r="B96" i="7"/>
  <c r="B20" i="20" s="1"/>
  <c r="B125" i="20" s="1"/>
  <c r="B84" i="7"/>
  <c r="B8" i="20" s="1"/>
  <c r="B134" i="20" s="1"/>
  <c r="B142" i="20"/>
  <c r="B138" i="20"/>
  <c r="B144" i="20"/>
  <c r="B140" i="20"/>
  <c r="B136" i="20"/>
  <c r="B143" i="20"/>
  <c r="B62" i="20"/>
  <c r="B83" i="20" s="1"/>
  <c r="J83" i="20" s="1"/>
  <c r="B104" i="20"/>
  <c r="B96" i="20"/>
  <c r="B52" i="20"/>
  <c r="B73" i="20" s="1"/>
  <c r="B94" i="20"/>
  <c r="B98" i="20"/>
  <c r="B51" i="20"/>
  <c r="B72" i="20" s="1"/>
  <c r="G72" i="20" s="1"/>
  <c r="A2" i="25"/>
  <c r="H14" i="20"/>
  <c r="H10" i="20"/>
  <c r="I10" i="20" s="1"/>
  <c r="J10" i="20" s="1"/>
  <c r="K10" i="20" s="1"/>
  <c r="L10" i="20" s="1"/>
  <c r="M10" i="20" s="1"/>
  <c r="H19" i="20"/>
  <c r="J41" i="21" s="1"/>
  <c r="H20" i="20"/>
  <c r="I20" i="20" s="1"/>
  <c r="J20" i="20" s="1"/>
  <c r="K20" i="20" s="1"/>
  <c r="L20" i="20" s="1"/>
  <c r="M20" i="20" s="1"/>
  <c r="H8" i="20"/>
  <c r="I8" i="20" s="1"/>
  <c r="J8" i="20" s="1"/>
  <c r="H9" i="20"/>
  <c r="I9" i="20" s="1"/>
  <c r="H17" i="20"/>
  <c r="I17" i="20" s="1"/>
  <c r="I59" i="20" s="1"/>
  <c r="I14" i="20"/>
  <c r="S42" i="20"/>
  <c r="A2" i="21"/>
  <c r="A2" i="20"/>
  <c r="A2" i="17"/>
  <c r="A2" i="15"/>
  <c r="A2" i="12"/>
  <c r="A2" i="11"/>
  <c r="A2" i="8"/>
  <c r="A2" i="7"/>
  <c r="A2" i="5"/>
  <c r="C78" i="20"/>
  <c r="D78" i="20"/>
  <c r="C80" i="20"/>
  <c r="C81" i="20"/>
  <c r="F10" i="20"/>
  <c r="F80" i="20"/>
  <c r="F72" i="20"/>
  <c r="F12" i="20"/>
  <c r="H59" i="20"/>
  <c r="C77" i="20"/>
  <c r="F71" i="20"/>
  <c r="F75" i="20"/>
  <c r="F73" i="20"/>
  <c r="F11" i="20"/>
  <c r="C74" i="20"/>
  <c r="C73" i="20"/>
  <c r="G59" i="20"/>
  <c r="F16" i="20"/>
  <c r="F20" i="20"/>
  <c r="F19" i="20"/>
  <c r="F14" i="20"/>
  <c r="F8" i="20"/>
  <c r="F21" i="20" s="1"/>
  <c r="F22" i="20" s="1"/>
  <c r="G97" i="7"/>
  <c r="R33" i="20"/>
  <c r="E11" i="12"/>
  <c r="I11" i="12"/>
  <c r="D11" i="12"/>
  <c r="F11" i="12"/>
  <c r="G11" i="12"/>
  <c r="H11" i="12"/>
  <c r="C11" i="12"/>
  <c r="G73" i="20"/>
  <c r="H73" i="20"/>
  <c r="H72" i="20"/>
  <c r="I18" i="20" l="1"/>
  <c r="I60" i="20" s="1"/>
  <c r="H60" i="20"/>
  <c r="G83" i="20"/>
  <c r="R28" i="20"/>
  <c r="C83" i="20"/>
  <c r="C104" i="20" s="1"/>
  <c r="C125" i="20" s="1"/>
  <c r="C146" i="20" s="1"/>
  <c r="G60" i="20"/>
  <c r="I19" i="20"/>
  <c r="J14" i="20"/>
  <c r="K14" i="20" s="1"/>
  <c r="L14" i="20" s="1"/>
  <c r="M14" i="20" s="1"/>
  <c r="H13" i="20"/>
  <c r="B101" i="20"/>
  <c r="H37" i="32"/>
  <c r="K52" i="32"/>
  <c r="E76" i="7"/>
  <c r="K2" i="7" s="1"/>
  <c r="J7" i="5" s="1"/>
  <c r="I37" i="32"/>
  <c r="J39" i="32"/>
  <c r="K37" i="32"/>
  <c r="G39" i="32"/>
  <c r="H52" i="32"/>
  <c r="I64" i="32"/>
  <c r="I63" i="32"/>
  <c r="I62" i="32"/>
  <c r="L61" i="32"/>
  <c r="L60" i="32"/>
  <c r="M59" i="32"/>
  <c r="I58" i="32"/>
  <c r="L57" i="32"/>
  <c r="H56" i="32"/>
  <c r="L55" i="32"/>
  <c r="I54" i="32"/>
  <c r="L53" i="32"/>
  <c r="E98" i="7"/>
  <c r="C105" i="32"/>
  <c r="F103" i="32"/>
  <c r="J40" i="32"/>
  <c r="H83" i="20"/>
  <c r="F96" i="20"/>
  <c r="F117" i="20" s="1"/>
  <c r="F138" i="20" s="1"/>
  <c r="R40" i="20"/>
  <c r="R30" i="20"/>
  <c r="T42" i="20"/>
  <c r="B56" i="20"/>
  <c r="B77" i="20" s="1"/>
  <c r="H39" i="32"/>
  <c r="M64" i="32"/>
  <c r="I53" i="32"/>
  <c r="M54" i="32"/>
  <c r="J55" i="32"/>
  <c r="G57" i="32"/>
  <c r="K58" i="32"/>
  <c r="G59" i="32"/>
  <c r="I60" i="32"/>
  <c r="M61" i="32"/>
  <c r="M62" i="32"/>
  <c r="J63" i="32"/>
  <c r="G8" i="17"/>
  <c r="G98" i="37"/>
  <c r="F106" i="32"/>
  <c r="J37" i="32"/>
  <c r="K39" i="32"/>
  <c r="F105" i="32"/>
  <c r="F7" i="11"/>
  <c r="R34" i="20"/>
  <c r="R29" i="20"/>
  <c r="R36" i="20"/>
  <c r="R35" i="20"/>
  <c r="R38" i="20"/>
  <c r="R41" i="20"/>
  <c r="R32" i="20"/>
  <c r="R31" i="20"/>
  <c r="L77" i="20"/>
  <c r="M77" i="20"/>
  <c r="J77" i="20"/>
  <c r="K77" i="20"/>
  <c r="R37" i="20"/>
  <c r="R39" i="20"/>
  <c r="J18" i="20"/>
  <c r="J17" i="20"/>
  <c r="B124" i="20"/>
  <c r="B103" i="20"/>
  <c r="B120" i="20"/>
  <c r="B57" i="20"/>
  <c r="B78" i="20" s="1"/>
  <c r="B53" i="20"/>
  <c r="B74" i="20" s="1"/>
  <c r="I74" i="20" s="1"/>
  <c r="B116" i="20"/>
  <c r="B95" i="20"/>
  <c r="O28" i="20"/>
  <c r="O38" i="20"/>
  <c r="O34" i="20"/>
  <c r="O30" i="20"/>
  <c r="O41" i="20"/>
  <c r="O37" i="20"/>
  <c r="O33" i="20"/>
  <c r="O29" i="20"/>
  <c r="O40" i="20"/>
  <c r="O36" i="20"/>
  <c r="O32" i="20"/>
  <c r="Q36" i="20"/>
  <c r="Q38" i="20"/>
  <c r="Q33" i="20"/>
  <c r="Q39" i="20"/>
  <c r="Q40" i="20"/>
  <c r="Q32" i="20"/>
  <c r="Q30" i="20"/>
  <c r="Q29" i="20"/>
  <c r="E21" i="20"/>
  <c r="E22" i="20" s="1"/>
  <c r="P30" i="20"/>
  <c r="P41" i="20"/>
  <c r="P29" i="20"/>
  <c r="P38" i="20"/>
  <c r="D21" i="20"/>
  <c r="D22" i="20" s="1"/>
  <c r="P40" i="20"/>
  <c r="P37" i="20"/>
  <c r="P36" i="20"/>
  <c r="P33" i="20"/>
  <c r="P34" i="20"/>
  <c r="H16" i="17"/>
  <c r="H16" i="20" s="1"/>
  <c r="I16" i="20" s="1"/>
  <c r="J16" i="20" s="1"/>
  <c r="K16" i="20" s="1"/>
  <c r="L16" i="20" s="1"/>
  <c r="M16" i="20" s="1"/>
  <c r="B93" i="20"/>
  <c r="B59" i="20"/>
  <c r="B80" i="20" s="1"/>
  <c r="B54" i="20"/>
  <c r="B75" i="20" s="1"/>
  <c r="B135" i="20"/>
  <c r="B141" i="20"/>
  <c r="B146" i="20"/>
  <c r="B123" i="20"/>
  <c r="B102" i="20"/>
  <c r="B60" i="20"/>
  <c r="B81" i="20" s="1"/>
  <c r="C21" i="20"/>
  <c r="C22" i="20" s="1"/>
  <c r="Q37" i="20"/>
  <c r="P39" i="20"/>
  <c r="P32" i="20"/>
  <c r="O39" i="20"/>
  <c r="D98" i="7"/>
  <c r="D99" i="7" s="1"/>
  <c r="K72" i="20"/>
  <c r="J72" i="20"/>
  <c r="M72" i="20"/>
  <c r="L72" i="20"/>
  <c r="B99" i="20"/>
  <c r="B145" i="20"/>
  <c r="B50" i="20"/>
  <c r="B71" i="20" s="1"/>
  <c r="B113" i="20"/>
  <c r="B92" i="20"/>
  <c r="B97" i="20"/>
  <c r="B118" i="20"/>
  <c r="B55" i="20"/>
  <c r="B76" i="20" s="1"/>
  <c r="I76" i="20" s="1"/>
  <c r="Q31" i="20"/>
  <c r="P35" i="20"/>
  <c r="Q35" i="20"/>
  <c r="Q41" i="20"/>
  <c r="M73" i="20"/>
  <c r="L73" i="20"/>
  <c r="J73" i="20"/>
  <c r="K73" i="20"/>
  <c r="B61" i="20"/>
  <c r="B82" i="20" s="1"/>
  <c r="B58" i="20"/>
  <c r="B79" i="20" s="1"/>
  <c r="B121" i="20"/>
  <c r="B100" i="20"/>
  <c r="Q28" i="20"/>
  <c r="P28" i="20"/>
  <c r="O31" i="20"/>
  <c r="F2" i="25"/>
  <c r="J8" i="5" s="1"/>
  <c r="E99" i="7"/>
  <c r="G15" i="20"/>
  <c r="H97" i="7"/>
  <c r="J64" i="32"/>
  <c r="H64" i="32"/>
  <c r="J53" i="32"/>
  <c r="L54" i="32"/>
  <c r="J54" i="32"/>
  <c r="H55" i="32"/>
  <c r="G55" i="32"/>
  <c r="M56" i="32"/>
  <c r="G56" i="32"/>
  <c r="K57" i="32"/>
  <c r="H58" i="32"/>
  <c r="J58" i="32"/>
  <c r="L59" i="32"/>
  <c r="K59" i="32"/>
  <c r="H60" i="32"/>
  <c r="G60" i="32"/>
  <c r="J61" i="32"/>
  <c r="L62" i="32"/>
  <c r="K62" i="32"/>
  <c r="H63" i="32"/>
  <c r="G63" i="32"/>
  <c r="I52" i="32"/>
  <c r="G52" i="32"/>
  <c r="H98" i="37"/>
  <c r="K64" i="32"/>
  <c r="M53" i="32"/>
  <c r="H54" i="32"/>
  <c r="I56" i="32"/>
  <c r="J57" i="32"/>
  <c r="L58" i="32"/>
  <c r="J60" i="32"/>
  <c r="I61" i="32"/>
  <c r="J62" i="32"/>
  <c r="J52" i="32"/>
  <c r="F94" i="20"/>
  <c r="F115" i="20" s="1"/>
  <c r="F136" i="20" s="1"/>
  <c r="F98" i="37"/>
  <c r="F78" i="20"/>
  <c r="F99" i="20" s="1"/>
  <c r="F120" i="20" s="1"/>
  <c r="F141" i="20" s="1"/>
  <c r="F104" i="32"/>
  <c r="L35" i="32"/>
  <c r="I35" i="32"/>
  <c r="M40" i="32"/>
  <c r="L40" i="32"/>
  <c r="I33" i="32"/>
  <c r="J33" i="32"/>
  <c r="L33" i="32"/>
  <c r="M33" i="32"/>
  <c r="C98" i="20"/>
  <c r="C119" i="20" s="1"/>
  <c r="C140" i="20" s="1"/>
  <c r="C97" i="32"/>
  <c r="C21" i="32"/>
  <c r="F102" i="32"/>
  <c r="C79" i="20"/>
  <c r="F97" i="32"/>
  <c r="M32" i="32"/>
  <c r="F93" i="20"/>
  <c r="F114" i="20" s="1"/>
  <c r="F135" i="20" s="1"/>
  <c r="I36" i="32"/>
  <c r="C71" i="20"/>
  <c r="C92" i="20" s="1"/>
  <c r="F81" i="20"/>
  <c r="F102" i="20" s="1"/>
  <c r="F123" i="20" s="1"/>
  <c r="F144" i="20" s="1"/>
  <c r="C76" i="20"/>
  <c r="C97" i="20" s="1"/>
  <c r="C118" i="20" s="1"/>
  <c r="C139" i="20" s="1"/>
  <c r="H32" i="32"/>
  <c r="C99" i="20"/>
  <c r="C120" i="20" s="1"/>
  <c r="C141" i="20" s="1"/>
  <c r="K40" i="32"/>
  <c r="K33" i="32"/>
  <c r="M29" i="32"/>
  <c r="C94" i="20"/>
  <c r="C115" i="20" s="1"/>
  <c r="C136" i="20" s="1"/>
  <c r="G32" i="32"/>
  <c r="J32" i="32"/>
  <c r="L32" i="32"/>
  <c r="C58" i="20"/>
  <c r="C100" i="20" s="1"/>
  <c r="C121" i="20" s="1"/>
  <c r="C142" i="20" s="1"/>
  <c r="F82" i="20"/>
  <c r="F103" i="20" s="1"/>
  <c r="H36" i="32"/>
  <c r="C106" i="32"/>
  <c r="I40" i="32"/>
  <c r="K32" i="32"/>
  <c r="M35" i="32"/>
  <c r="H8" i="11"/>
  <c r="G36" i="32"/>
  <c r="H34" i="32"/>
  <c r="C101" i="20"/>
  <c r="C122" i="20" s="1"/>
  <c r="C143" i="20" s="1"/>
  <c r="C98" i="32"/>
  <c r="M36" i="32"/>
  <c r="H22" i="21"/>
  <c r="H23" i="21" s="1"/>
  <c r="C107" i="32"/>
  <c r="C102" i="32"/>
  <c r="F99" i="32"/>
  <c r="D99" i="20"/>
  <c r="C102" i="20"/>
  <c r="C123" i="20" s="1"/>
  <c r="C144" i="20" s="1"/>
  <c r="E22" i="21"/>
  <c r="E23" i="21" s="1"/>
  <c r="C99" i="32"/>
  <c r="M31" i="32"/>
  <c r="F101" i="20"/>
  <c r="F122" i="20" s="1"/>
  <c r="F143" i="20" s="1"/>
  <c r="C103" i="32"/>
  <c r="F101" i="32"/>
  <c r="C95" i="20"/>
  <c r="C116" i="20" s="1"/>
  <c r="C137" i="20" s="1"/>
  <c r="F104" i="20"/>
  <c r="F125" i="20" s="1"/>
  <c r="F146" i="20" s="1"/>
  <c r="L39" i="32"/>
  <c r="M39" i="32"/>
  <c r="K8" i="20"/>
  <c r="F56" i="20"/>
  <c r="F77" i="20"/>
  <c r="F29" i="7"/>
  <c r="E11" i="32"/>
  <c r="F32" i="7"/>
  <c r="F35" i="7"/>
  <c r="E16" i="32"/>
  <c r="F37" i="7"/>
  <c r="E18" i="32"/>
  <c r="E8" i="32"/>
  <c r="F30" i="7"/>
  <c r="E15" i="32"/>
  <c r="E29" i="32"/>
  <c r="E33" i="32"/>
  <c r="E37" i="32"/>
  <c r="E41" i="32"/>
  <c r="E76" i="32"/>
  <c r="E80" i="32"/>
  <c r="E84" i="32"/>
  <c r="G8" i="21"/>
  <c r="G12" i="21"/>
  <c r="G16" i="21"/>
  <c r="G20" i="21"/>
  <c r="F31" i="7"/>
  <c r="E12" i="32"/>
  <c r="E13" i="32"/>
  <c r="E14" i="32"/>
  <c r="E19" i="32"/>
  <c r="E20" i="32"/>
  <c r="E30" i="32"/>
  <c r="E34" i="32"/>
  <c r="E38" i="32"/>
  <c r="E77" i="32"/>
  <c r="E81" i="32"/>
  <c r="E85" i="32"/>
  <c r="G9" i="21"/>
  <c r="G13" i="21"/>
  <c r="G17" i="21"/>
  <c r="G21" i="21"/>
  <c r="F40" i="7"/>
  <c r="E35" i="32"/>
  <c r="E74" i="32"/>
  <c r="E82" i="32"/>
  <c r="G7" i="21"/>
  <c r="G15" i="21"/>
  <c r="F42" i="7"/>
  <c r="E10" i="32"/>
  <c r="E17" i="32"/>
  <c r="E36" i="32"/>
  <c r="E75" i="32"/>
  <c r="E83" i="32"/>
  <c r="G10" i="21"/>
  <c r="G18" i="21"/>
  <c r="E76" i="20"/>
  <c r="E97" i="20" s="1"/>
  <c r="D59" i="20"/>
  <c r="D101" i="20" s="1"/>
  <c r="F17" i="21"/>
  <c r="C95" i="32"/>
  <c r="C87" i="32"/>
  <c r="D84" i="32"/>
  <c r="E79" i="32"/>
  <c r="E32" i="32"/>
  <c r="F21" i="32"/>
  <c r="J41" i="32"/>
  <c r="M41" i="32"/>
  <c r="I41" i="32"/>
  <c r="K41" i="32"/>
  <c r="F107" i="32"/>
  <c r="L41" i="32"/>
  <c r="H41" i="32"/>
  <c r="E9" i="32"/>
  <c r="E83" i="20"/>
  <c r="E62" i="20"/>
  <c r="E75" i="20"/>
  <c r="E54" i="20"/>
  <c r="F92" i="20"/>
  <c r="D60" i="20"/>
  <c r="D102" i="20" s="1"/>
  <c r="G43" i="7"/>
  <c r="G11" i="21"/>
  <c r="E86" i="32"/>
  <c r="E39" i="32"/>
  <c r="F58" i="20"/>
  <c r="F79" i="20"/>
  <c r="L34" i="32"/>
  <c r="M34" i="32"/>
  <c r="I34" i="32"/>
  <c r="G34" i="32"/>
  <c r="F53" i="20"/>
  <c r="F74" i="20"/>
  <c r="E29" i="7"/>
  <c r="D11" i="32"/>
  <c r="E32" i="7"/>
  <c r="E35" i="7"/>
  <c r="D16" i="32"/>
  <c r="E37" i="7"/>
  <c r="D18" i="32"/>
  <c r="D8" i="32"/>
  <c r="D9" i="32"/>
  <c r="E30" i="7"/>
  <c r="D12" i="32"/>
  <c r="E33" i="7"/>
  <c r="D14" i="32"/>
  <c r="D15" i="32"/>
  <c r="D120" i="20" s="1"/>
  <c r="D19" i="32"/>
  <c r="I19" i="32" s="1"/>
  <c r="E40" i="7"/>
  <c r="D17" i="32"/>
  <c r="E31" i="7"/>
  <c r="D13" i="32"/>
  <c r="D20" i="32"/>
  <c r="D30" i="32"/>
  <c r="D34" i="32"/>
  <c r="D38" i="32"/>
  <c r="D77" i="32"/>
  <c r="D81" i="32"/>
  <c r="D85" i="32"/>
  <c r="F10" i="21"/>
  <c r="F14" i="21"/>
  <c r="F18" i="21"/>
  <c r="D31" i="32"/>
  <c r="D35" i="32"/>
  <c r="D39" i="32"/>
  <c r="D74" i="32"/>
  <c r="D78" i="32"/>
  <c r="D82" i="32"/>
  <c r="D103" i="32" s="1"/>
  <c r="D86" i="32"/>
  <c r="F7" i="21"/>
  <c r="F11" i="21"/>
  <c r="F15" i="21"/>
  <c r="F19" i="21"/>
  <c r="D10" i="32"/>
  <c r="D32" i="32"/>
  <c r="D40" i="32"/>
  <c r="D79" i="32"/>
  <c r="F13" i="21"/>
  <c r="F21" i="21"/>
  <c r="E41" i="7"/>
  <c r="D33" i="32"/>
  <c r="D41" i="32"/>
  <c r="D80" i="32"/>
  <c r="F8" i="21"/>
  <c r="F16" i="21"/>
  <c r="E34" i="7"/>
  <c r="E42" i="7"/>
  <c r="F39" i="7"/>
  <c r="F38" i="7"/>
  <c r="F36" i="7"/>
  <c r="F55" i="20"/>
  <c r="F76" i="20"/>
  <c r="F12" i="21"/>
  <c r="G19" i="21"/>
  <c r="D83" i="32"/>
  <c r="D36" i="32"/>
  <c r="E78" i="32"/>
  <c r="E31" i="32"/>
  <c r="F100" i="32"/>
  <c r="F98" i="32"/>
  <c r="F87" i="32"/>
  <c r="F42" i="32"/>
  <c r="F43" i="32" s="1"/>
  <c r="K34" i="32"/>
  <c r="C104" i="32"/>
  <c r="C100" i="32"/>
  <c r="C96" i="32"/>
  <c r="C42" i="32"/>
  <c r="M38" i="32"/>
  <c r="J38" i="32"/>
  <c r="I38" i="32"/>
  <c r="L38" i="32"/>
  <c r="I83" i="20"/>
  <c r="I82" i="20"/>
  <c r="I79" i="20"/>
  <c r="I78" i="20"/>
  <c r="I77" i="20"/>
  <c r="I75" i="20"/>
  <c r="I73" i="20"/>
  <c r="I72" i="20"/>
  <c r="I71" i="20"/>
  <c r="J82" i="20"/>
  <c r="J79" i="20"/>
  <c r="J36" i="32"/>
  <c r="J35" i="32"/>
  <c r="K83" i="20"/>
  <c r="K82" i="20"/>
  <c r="K79" i="20"/>
  <c r="K36" i="32"/>
  <c r="K35" i="32"/>
  <c r="L83" i="20"/>
  <c r="L82" i="20"/>
  <c r="L79" i="20"/>
  <c r="M83" i="20"/>
  <c r="D40" i="7"/>
  <c r="D33" i="7"/>
  <c r="D30" i="7"/>
  <c r="R43" i="20" l="1"/>
  <c r="R44" i="20" s="1"/>
  <c r="K41" i="21"/>
  <c r="U42" i="20"/>
  <c r="J19" i="20"/>
  <c r="D97" i="32"/>
  <c r="G77" i="20"/>
  <c r="H77" i="20"/>
  <c r="H55" i="20"/>
  <c r="I13" i="20"/>
  <c r="M76" i="20"/>
  <c r="D100" i="32"/>
  <c r="E104" i="20"/>
  <c r="Q43" i="20"/>
  <c r="Q44" i="20" s="1"/>
  <c r="M82" i="20"/>
  <c r="H82" i="20"/>
  <c r="G82" i="20"/>
  <c r="M78" i="37"/>
  <c r="N77" i="37"/>
  <c r="O76" i="37"/>
  <c r="K76" i="37"/>
  <c r="L75" i="37"/>
  <c r="M74" i="37"/>
  <c r="N73" i="37"/>
  <c r="O72" i="37"/>
  <c r="K72" i="37"/>
  <c r="L71" i="37"/>
  <c r="M70" i="37"/>
  <c r="N69" i="37"/>
  <c r="O68" i="37"/>
  <c r="K68" i="37"/>
  <c r="L67" i="37"/>
  <c r="M66" i="37"/>
  <c r="N65" i="37"/>
  <c r="O64" i="37"/>
  <c r="K64" i="37"/>
  <c r="L63" i="37"/>
  <c r="M62" i="37"/>
  <c r="N61" i="37"/>
  <c r="O60" i="37"/>
  <c r="K60" i="37"/>
  <c r="L59" i="37"/>
  <c r="M58" i="37"/>
  <c r="N57" i="37"/>
  <c r="O56" i="37"/>
  <c r="K56" i="37"/>
  <c r="L55" i="37"/>
  <c r="M54" i="37"/>
  <c r="N53" i="37"/>
  <c r="O52" i="37"/>
  <c r="K52" i="37"/>
  <c r="L51" i="37"/>
  <c r="M50" i="37"/>
  <c r="N49" i="37"/>
  <c r="O48" i="37"/>
  <c r="K48" i="37"/>
  <c r="L47" i="37"/>
  <c r="M46" i="37"/>
  <c r="N45" i="37"/>
  <c r="O44" i="37"/>
  <c r="K44" i="37"/>
  <c r="L43" i="37"/>
  <c r="M42" i="37"/>
  <c r="N41" i="37"/>
  <c r="O40" i="37"/>
  <c r="K40" i="37"/>
  <c r="L39" i="37"/>
  <c r="M38" i="37"/>
  <c r="N37" i="37"/>
  <c r="O36" i="37"/>
  <c r="K36" i="37"/>
  <c r="L35" i="37"/>
  <c r="M34" i="37"/>
  <c r="N33" i="37"/>
  <c r="O32" i="37"/>
  <c r="K32" i="37"/>
  <c r="L31" i="37"/>
  <c r="M30" i="37"/>
  <c r="N29" i="37"/>
  <c r="O28" i="37"/>
  <c r="K28" i="37"/>
  <c r="L27" i="37"/>
  <c r="M26" i="37"/>
  <c r="N25" i="37"/>
  <c r="O24" i="37"/>
  <c r="K24" i="37"/>
  <c r="L78" i="37"/>
  <c r="M77" i="37"/>
  <c r="N76" i="37"/>
  <c r="O75" i="37"/>
  <c r="K75" i="37"/>
  <c r="L74" i="37"/>
  <c r="M73" i="37"/>
  <c r="N72" i="37"/>
  <c r="O71" i="37"/>
  <c r="K71" i="37"/>
  <c r="L70" i="37"/>
  <c r="M69" i="37"/>
  <c r="N68" i="37"/>
  <c r="O67" i="37"/>
  <c r="K67" i="37"/>
  <c r="L66" i="37"/>
  <c r="M65" i="37"/>
  <c r="N64" i="37"/>
  <c r="O63" i="37"/>
  <c r="K63" i="37"/>
  <c r="L62" i="37"/>
  <c r="M61" i="37"/>
  <c r="N60" i="37"/>
  <c r="O59" i="37"/>
  <c r="K59" i="37"/>
  <c r="L58" i="37"/>
  <c r="M57" i="37"/>
  <c r="N56" i="37"/>
  <c r="O55" i="37"/>
  <c r="K55" i="37"/>
  <c r="L54" i="37"/>
  <c r="M53" i="37"/>
  <c r="N52" i="37"/>
  <c r="O51" i="37"/>
  <c r="K51" i="37"/>
  <c r="L50" i="37"/>
  <c r="M49" i="37"/>
  <c r="N48" i="37"/>
  <c r="O47" i="37"/>
  <c r="K47" i="37"/>
  <c r="L46" i="37"/>
  <c r="M45" i="37"/>
  <c r="N44" i="37"/>
  <c r="O43" i="37"/>
  <c r="K43" i="37"/>
  <c r="L42" i="37"/>
  <c r="M41" i="37"/>
  <c r="N40" i="37"/>
  <c r="O39" i="37"/>
  <c r="K39" i="37"/>
  <c r="L38" i="37"/>
  <c r="M37" i="37"/>
  <c r="N36" i="37"/>
  <c r="O35" i="37"/>
  <c r="K35" i="37"/>
  <c r="L34" i="37"/>
  <c r="M33" i="37"/>
  <c r="N32" i="37"/>
  <c r="O31" i="37"/>
  <c r="K31" i="37"/>
  <c r="L30" i="37"/>
  <c r="M29" i="37"/>
  <c r="N28" i="37"/>
  <c r="O27" i="37"/>
  <c r="K27" i="37"/>
  <c r="L26" i="37"/>
  <c r="M25" i="37"/>
  <c r="N24" i="37"/>
  <c r="O19" i="37"/>
  <c r="N78" i="37"/>
  <c r="O77" i="37"/>
  <c r="K77" i="37"/>
  <c r="L76" i="37"/>
  <c r="M75" i="37"/>
  <c r="N74" i="37"/>
  <c r="O73" i="37"/>
  <c r="K73" i="37"/>
  <c r="L72" i="37"/>
  <c r="M71" i="37"/>
  <c r="N70" i="37"/>
  <c r="O69" i="37"/>
  <c r="K69" i="37"/>
  <c r="L68" i="37"/>
  <c r="M67" i="37"/>
  <c r="N66" i="37"/>
  <c r="O65" i="37"/>
  <c r="K65" i="37"/>
  <c r="L64" i="37"/>
  <c r="M63" i="37"/>
  <c r="N62" i="37"/>
  <c r="O61" i="37"/>
  <c r="K61" i="37"/>
  <c r="L60" i="37"/>
  <c r="M59" i="37"/>
  <c r="N58" i="37"/>
  <c r="O57" i="37"/>
  <c r="K57" i="37"/>
  <c r="L56" i="37"/>
  <c r="M55" i="37"/>
  <c r="N54" i="37"/>
  <c r="O53" i="37"/>
  <c r="K53" i="37"/>
  <c r="L52" i="37"/>
  <c r="M51" i="37"/>
  <c r="N50" i="37"/>
  <c r="O49" i="37"/>
  <c r="K49" i="37"/>
  <c r="L48" i="37"/>
  <c r="M47" i="37"/>
  <c r="N46" i="37"/>
  <c r="O45" i="37"/>
  <c r="K45" i="37"/>
  <c r="L44" i="37"/>
  <c r="M43" i="37"/>
  <c r="N42" i="37"/>
  <c r="O41" i="37"/>
  <c r="K41" i="37"/>
  <c r="L40" i="37"/>
  <c r="M39" i="37"/>
  <c r="N38" i="37"/>
  <c r="O37" i="37"/>
  <c r="K37" i="37"/>
  <c r="L36" i="37"/>
  <c r="M35" i="37"/>
  <c r="N34" i="37"/>
  <c r="O33" i="37"/>
  <c r="K33" i="37"/>
  <c r="L32" i="37"/>
  <c r="M31" i="37"/>
  <c r="N30" i="37"/>
  <c r="O29" i="37"/>
  <c r="K29" i="37"/>
  <c r="L28" i="37"/>
  <c r="M27" i="37"/>
  <c r="N26" i="37"/>
  <c r="O25" i="37"/>
  <c r="K25" i="37"/>
  <c r="K78" i="37"/>
  <c r="O74" i="37"/>
  <c r="N71" i="37"/>
  <c r="M68" i="37"/>
  <c r="L65" i="37"/>
  <c r="K62" i="37"/>
  <c r="O58" i="37"/>
  <c r="N55" i="37"/>
  <c r="M52" i="37"/>
  <c r="L49" i="37"/>
  <c r="K46" i="37"/>
  <c r="O42" i="37"/>
  <c r="N39" i="37"/>
  <c r="M36" i="37"/>
  <c r="L33" i="37"/>
  <c r="K30" i="37"/>
  <c r="O26" i="37"/>
  <c r="L24" i="37"/>
  <c r="K19" i="37"/>
  <c r="L18" i="37"/>
  <c r="M9" i="37"/>
  <c r="L77" i="37"/>
  <c r="K74" i="37"/>
  <c r="O70" i="37"/>
  <c r="N67" i="37"/>
  <c r="M64" i="37"/>
  <c r="L61" i="37"/>
  <c r="K58" i="37"/>
  <c r="O54" i="37"/>
  <c r="N51" i="37"/>
  <c r="M48" i="37"/>
  <c r="L45" i="37"/>
  <c r="K42" i="37"/>
  <c r="O38" i="37"/>
  <c r="N35" i="37"/>
  <c r="M32" i="37"/>
  <c r="L29" i="37"/>
  <c r="K26" i="37"/>
  <c r="N19" i="37"/>
  <c r="O18" i="37"/>
  <c r="K18" i="37"/>
  <c r="L9" i="37"/>
  <c r="M76" i="37"/>
  <c r="L73" i="37"/>
  <c r="K70" i="37"/>
  <c r="O66" i="37"/>
  <c r="N63" i="37"/>
  <c r="M60" i="37"/>
  <c r="L57" i="37"/>
  <c r="K54" i="37"/>
  <c r="O50" i="37"/>
  <c r="N47" i="37"/>
  <c r="M44" i="37"/>
  <c r="L41" i="37"/>
  <c r="K38" i="37"/>
  <c r="O34" i="37"/>
  <c r="N31" i="37"/>
  <c r="M28" i="37"/>
  <c r="L25" i="37"/>
  <c r="M19" i="37"/>
  <c r="N18" i="37"/>
  <c r="O9" i="37"/>
  <c r="K9" i="37"/>
  <c r="O78" i="37"/>
  <c r="N75" i="37"/>
  <c r="M72" i="37"/>
  <c r="L69" i="37"/>
  <c r="K66" i="37"/>
  <c r="O62" i="37"/>
  <c r="N59" i="37"/>
  <c r="M56" i="37"/>
  <c r="L53" i="37"/>
  <c r="K50" i="37"/>
  <c r="O46" i="37"/>
  <c r="N43" i="37"/>
  <c r="M40" i="37"/>
  <c r="L37" i="37"/>
  <c r="K34" i="37"/>
  <c r="O30" i="37"/>
  <c r="N27" i="37"/>
  <c r="M24" i="37"/>
  <c r="L19" i="37"/>
  <c r="M18" i="37"/>
  <c r="N9" i="37"/>
  <c r="L91" i="37"/>
  <c r="J89" i="37"/>
  <c r="O86" i="37"/>
  <c r="M84" i="37"/>
  <c r="K82" i="37"/>
  <c r="I80" i="37"/>
  <c r="J73" i="37"/>
  <c r="J65" i="37"/>
  <c r="J57" i="37"/>
  <c r="J49" i="37"/>
  <c r="N90" i="37"/>
  <c r="L88" i="37"/>
  <c r="J86" i="37"/>
  <c r="O83" i="37"/>
  <c r="M81" i="37"/>
  <c r="K79" i="37"/>
  <c r="I73" i="37"/>
  <c r="I65" i="37"/>
  <c r="I57" i="37"/>
  <c r="I49" i="37"/>
  <c r="I90" i="37"/>
  <c r="N87" i="37"/>
  <c r="L85" i="37"/>
  <c r="J83" i="37"/>
  <c r="O80" i="37"/>
  <c r="I78" i="37"/>
  <c r="I70" i="37"/>
  <c r="I62" i="37"/>
  <c r="I54" i="37"/>
  <c r="M91" i="37"/>
  <c r="K89" i="37"/>
  <c r="I87" i="37"/>
  <c r="K90" i="37"/>
  <c r="I88" i="37"/>
  <c r="N85" i="37"/>
  <c r="L83" i="37"/>
  <c r="J81" i="37"/>
  <c r="J77" i="37"/>
  <c r="J69" i="37"/>
  <c r="J61" i="37"/>
  <c r="J53" i="37"/>
  <c r="O91" i="37"/>
  <c r="M89" i="37"/>
  <c r="K87" i="37"/>
  <c r="I85" i="37"/>
  <c r="N82" i="37"/>
  <c r="L80" i="37"/>
  <c r="I77" i="37"/>
  <c r="I69" i="37"/>
  <c r="I61" i="37"/>
  <c r="I53" i="37"/>
  <c r="J91" i="37"/>
  <c r="O88" i="37"/>
  <c r="M86" i="37"/>
  <c r="K84" i="37"/>
  <c r="I82" i="37"/>
  <c r="N79" i="37"/>
  <c r="I74" i="37"/>
  <c r="I66" i="37"/>
  <c r="I58" i="37"/>
  <c r="I50" i="37"/>
  <c r="L90" i="37"/>
  <c r="J88" i="37"/>
  <c r="N89" i="37"/>
  <c r="J85" i="37"/>
  <c r="M80" i="37"/>
  <c r="I68" i="37"/>
  <c r="I52" i="37"/>
  <c r="I89" i="37"/>
  <c r="L84" i="37"/>
  <c r="O79" i="37"/>
  <c r="J66" i="37"/>
  <c r="J50" i="37"/>
  <c r="K88" i="37"/>
  <c r="N83" i="37"/>
  <c r="J79" i="37"/>
  <c r="J63" i="37"/>
  <c r="M88" i="37"/>
  <c r="I84" i="37"/>
  <c r="L79" i="37"/>
  <c r="I64" i="37"/>
  <c r="I48" i="37"/>
  <c r="O87" i="37"/>
  <c r="K83" i="37"/>
  <c r="J78" i="37"/>
  <c r="J62" i="37"/>
  <c r="N91" i="37"/>
  <c r="J87" i="37"/>
  <c r="M82" i="37"/>
  <c r="J75" i="37"/>
  <c r="J59" i="37"/>
  <c r="I91" i="37"/>
  <c r="L86" i="37"/>
  <c r="J84" i="37"/>
  <c r="O81" i="37"/>
  <c r="M79" i="37"/>
  <c r="J72" i="37"/>
  <c r="J64" i="37"/>
  <c r="J56" i="37"/>
  <c r="J48" i="37"/>
  <c r="J40" i="37"/>
  <c r="J24" i="37"/>
  <c r="J18" i="37"/>
  <c r="I40" i="37"/>
  <c r="I32" i="37"/>
  <c r="J46" i="37"/>
  <c r="J38" i="37"/>
  <c r="J30" i="37"/>
  <c r="I42" i="37"/>
  <c r="I34" i="37"/>
  <c r="I26" i="37"/>
  <c r="I31" i="37"/>
  <c r="I29" i="37"/>
  <c r="L87" i="37"/>
  <c r="O82" i="37"/>
  <c r="I76" i="37"/>
  <c r="I60" i="37"/>
  <c r="K91" i="37"/>
  <c r="N86" i="37"/>
  <c r="J82" i="37"/>
  <c r="J74" i="37"/>
  <c r="J58" i="37"/>
  <c r="M90" i="37"/>
  <c r="I86" i="37"/>
  <c r="L81" i="37"/>
  <c r="J71" i="37"/>
  <c r="J55" i="37"/>
  <c r="O89" i="37"/>
  <c r="O85" i="37"/>
  <c r="M83" i="37"/>
  <c r="K81" i="37"/>
  <c r="I79" i="37"/>
  <c r="I71" i="37"/>
  <c r="I63" i="37"/>
  <c r="I55" i="37"/>
  <c r="I47" i="37"/>
  <c r="I39" i="37"/>
  <c r="I19" i="37"/>
  <c r="J45" i="37"/>
  <c r="J37" i="37"/>
  <c r="J29" i="37"/>
  <c r="I45" i="37"/>
  <c r="I37" i="37"/>
  <c r="I9" i="37"/>
  <c r="J39" i="37"/>
  <c r="J31" i="37"/>
  <c r="J19" i="37"/>
  <c r="J28" i="37"/>
  <c r="I25" i="37"/>
  <c r="I72" i="37"/>
  <c r="I81" i="37"/>
  <c r="O84" i="37"/>
  <c r="J47" i="37"/>
  <c r="N84" i="37"/>
  <c r="J80" i="37"/>
  <c r="I67" i="37"/>
  <c r="I51" i="37"/>
  <c r="I35" i="37"/>
  <c r="J41" i="37"/>
  <c r="J9" i="37"/>
  <c r="I33" i="37"/>
  <c r="J35" i="37"/>
  <c r="J32" i="37"/>
  <c r="O90" i="37"/>
  <c r="I56" i="37"/>
  <c r="J70" i="37"/>
  <c r="K80" i="37"/>
  <c r="N88" i="37"/>
  <c r="I83" i="37"/>
  <c r="J76" i="37"/>
  <c r="J60" i="37"/>
  <c r="J44" i="37"/>
  <c r="J25" i="37"/>
  <c r="I36" i="37"/>
  <c r="J42" i="37"/>
  <c r="I46" i="37"/>
  <c r="I30" i="37"/>
  <c r="I27" i="37"/>
  <c r="K86" i="37"/>
  <c r="J90" i="37"/>
  <c r="J54" i="37"/>
  <c r="J67" i="37"/>
  <c r="M87" i="37"/>
  <c r="L82" i="37"/>
  <c r="I75" i="37"/>
  <c r="I59" i="37"/>
  <c r="I43" i="37"/>
  <c r="J26" i="37"/>
  <c r="J33" i="37"/>
  <c r="I41" i="37"/>
  <c r="J43" i="37"/>
  <c r="J27" i="37"/>
  <c r="I24" i="37"/>
  <c r="N81" i="37"/>
  <c r="M85" i="37"/>
  <c r="L89" i="37"/>
  <c r="J51" i="37"/>
  <c r="K85" i="37"/>
  <c r="N80" i="37"/>
  <c r="J68" i="37"/>
  <c r="J52" i="37"/>
  <c r="J36" i="37"/>
  <c r="I44" i="37"/>
  <c r="I28" i="37"/>
  <c r="J34" i="37"/>
  <c r="I38" i="37"/>
  <c r="I18" i="37"/>
  <c r="M75" i="20"/>
  <c r="K75" i="20"/>
  <c r="J75" i="20"/>
  <c r="L75" i="20"/>
  <c r="H75" i="20"/>
  <c r="G75" i="20"/>
  <c r="K18" i="20"/>
  <c r="J60" i="20"/>
  <c r="M71" i="20"/>
  <c r="L71" i="20"/>
  <c r="K71" i="20"/>
  <c r="J71" i="20"/>
  <c r="G71" i="20"/>
  <c r="H71" i="20"/>
  <c r="M81" i="20"/>
  <c r="I81" i="20"/>
  <c r="I102" i="20" s="1"/>
  <c r="I84" i="32" s="1"/>
  <c r="L81" i="20"/>
  <c r="J81" i="20"/>
  <c r="K81" i="20"/>
  <c r="H81" i="20"/>
  <c r="H102" i="20" s="1"/>
  <c r="H84" i="32" s="1"/>
  <c r="G81" i="20"/>
  <c r="G102" i="20" s="1"/>
  <c r="G84" i="32" s="1"/>
  <c r="O43" i="20"/>
  <c r="O44" i="20" s="1"/>
  <c r="J78" i="20"/>
  <c r="L78" i="20"/>
  <c r="M78" i="20"/>
  <c r="K78" i="20"/>
  <c r="H78" i="20"/>
  <c r="G78" i="20"/>
  <c r="G99" i="20" s="1"/>
  <c r="G81" i="32" s="1"/>
  <c r="H15" i="20"/>
  <c r="S35" i="20"/>
  <c r="I34" i="21" s="1"/>
  <c r="S30" i="20"/>
  <c r="I29" i="21" s="1"/>
  <c r="S41" i="20"/>
  <c r="I40" i="21" s="1"/>
  <c r="G21" i="20"/>
  <c r="G22" i="20" s="1"/>
  <c r="S34" i="20"/>
  <c r="I33" i="21" s="1"/>
  <c r="S40" i="20"/>
  <c r="I39" i="21" s="1"/>
  <c r="S38" i="20"/>
  <c r="I37" i="21" s="1"/>
  <c r="G57" i="20"/>
  <c r="S33" i="20"/>
  <c r="I32" i="21" s="1"/>
  <c r="S31" i="20"/>
  <c r="I30" i="21" s="1"/>
  <c r="S37" i="20"/>
  <c r="I36" i="21" s="1"/>
  <c r="S32" i="20"/>
  <c r="I31" i="21" s="1"/>
  <c r="S36" i="20"/>
  <c r="I35" i="21" s="1"/>
  <c r="S39" i="20"/>
  <c r="I38" i="21" s="1"/>
  <c r="S29" i="20"/>
  <c r="I28" i="21" s="1"/>
  <c r="S28" i="20"/>
  <c r="K76" i="20"/>
  <c r="L76" i="20"/>
  <c r="J76" i="20"/>
  <c r="G76" i="20"/>
  <c r="G97" i="20" s="1"/>
  <c r="G79" i="32" s="1"/>
  <c r="H76" i="20"/>
  <c r="H97" i="20" s="1"/>
  <c r="H79" i="32" s="1"/>
  <c r="L80" i="20"/>
  <c r="J80" i="20"/>
  <c r="M80" i="20"/>
  <c r="K80" i="20"/>
  <c r="I80" i="20"/>
  <c r="I101" i="20" s="1"/>
  <c r="I83" i="32" s="1"/>
  <c r="H80" i="20"/>
  <c r="H101" i="20" s="1"/>
  <c r="H83" i="32" s="1"/>
  <c r="G80" i="20"/>
  <c r="G101" i="20" s="1"/>
  <c r="G83" i="32" s="1"/>
  <c r="L74" i="20"/>
  <c r="K74" i="20"/>
  <c r="J74" i="20"/>
  <c r="M74" i="20"/>
  <c r="H74" i="20"/>
  <c r="G74" i="20"/>
  <c r="P43" i="20"/>
  <c r="P44" i="20" s="1"/>
  <c r="M79" i="20"/>
  <c r="G79" i="20"/>
  <c r="H79" i="20"/>
  <c r="K17" i="20"/>
  <c r="J59" i="20"/>
  <c r="F124" i="20"/>
  <c r="R168" i="20"/>
  <c r="D141" i="20"/>
  <c r="H7" i="11"/>
  <c r="I8" i="11"/>
  <c r="C16" i="30"/>
  <c r="I58" i="20" s="1"/>
  <c r="I100" i="20" s="1"/>
  <c r="I82" i="32" s="1"/>
  <c r="D123" i="20"/>
  <c r="D42" i="32"/>
  <c r="D43" i="32" s="1"/>
  <c r="J42" i="32"/>
  <c r="I16" i="32"/>
  <c r="H42" i="32"/>
  <c r="F108" i="32"/>
  <c r="H93" i="37" s="1"/>
  <c r="E99" i="32"/>
  <c r="G42" i="32"/>
  <c r="E96" i="20"/>
  <c r="E117" i="20" s="1"/>
  <c r="E138" i="20" s="1"/>
  <c r="M42" i="32"/>
  <c r="I11" i="32"/>
  <c r="L42" i="32"/>
  <c r="D96" i="32"/>
  <c r="D107" i="32"/>
  <c r="F84" i="20"/>
  <c r="F85" i="20" s="1"/>
  <c r="E105" i="32"/>
  <c r="D106" i="32"/>
  <c r="I10" i="32"/>
  <c r="E118" i="20"/>
  <c r="E139" i="20" s="1"/>
  <c r="L8" i="20"/>
  <c r="C10" i="30"/>
  <c r="I52" i="20" s="1"/>
  <c r="D73" i="20"/>
  <c r="D52" i="20"/>
  <c r="D72" i="20"/>
  <c r="D51" i="20"/>
  <c r="L11" i="32"/>
  <c r="K11" i="32"/>
  <c r="J11" i="32"/>
  <c r="H11" i="32"/>
  <c r="G11" i="32"/>
  <c r="M11" i="32"/>
  <c r="F95" i="20"/>
  <c r="F116" i="20" s="1"/>
  <c r="F137" i="20" s="1"/>
  <c r="F63" i="20"/>
  <c r="F64" i="20" s="1"/>
  <c r="C113" i="20"/>
  <c r="E102" i="32"/>
  <c r="E50" i="20"/>
  <c r="F43" i="7"/>
  <c r="E71" i="20"/>
  <c r="D62" i="20"/>
  <c r="D83" i="20"/>
  <c r="D102" i="32"/>
  <c r="M14" i="32"/>
  <c r="L14" i="32"/>
  <c r="G14" i="32"/>
  <c r="K14" i="32"/>
  <c r="J14" i="32"/>
  <c r="I14" i="32"/>
  <c r="H14" i="32"/>
  <c r="D71" i="20"/>
  <c r="C8" i="30"/>
  <c r="D50" i="20"/>
  <c r="E43" i="7"/>
  <c r="C108" i="32"/>
  <c r="C109" i="32" s="1"/>
  <c r="G22" i="21"/>
  <c r="G23" i="21" s="1"/>
  <c r="E98" i="32"/>
  <c r="E101" i="32"/>
  <c r="E21" i="32"/>
  <c r="E56" i="20"/>
  <c r="E77" i="20"/>
  <c r="C9" i="30"/>
  <c r="D43" i="7"/>
  <c r="C72" i="20"/>
  <c r="C51" i="20"/>
  <c r="E81" i="20"/>
  <c r="E60" i="20"/>
  <c r="D76" i="20"/>
  <c r="D55" i="20"/>
  <c r="D101" i="32"/>
  <c r="D99" i="32"/>
  <c r="D98" i="32"/>
  <c r="H20" i="32"/>
  <c r="M20" i="32"/>
  <c r="K20" i="32"/>
  <c r="L20" i="32"/>
  <c r="J20" i="32"/>
  <c r="I20" i="32"/>
  <c r="G20" i="32"/>
  <c r="D82" i="20"/>
  <c r="D61" i="20"/>
  <c r="D75" i="20"/>
  <c r="D54" i="20"/>
  <c r="M8" i="32"/>
  <c r="L8" i="32"/>
  <c r="K8" i="32"/>
  <c r="J8" i="32"/>
  <c r="D21" i="32"/>
  <c r="I8" i="32"/>
  <c r="H8" i="32"/>
  <c r="G8" i="32"/>
  <c r="C14" i="30"/>
  <c r="D56" i="20"/>
  <c r="D77" i="20"/>
  <c r="I42" i="32"/>
  <c r="F100" i="20"/>
  <c r="F121" i="20" s="1"/>
  <c r="F142" i="20" s="1"/>
  <c r="E125" i="20"/>
  <c r="E146" i="20" s="1"/>
  <c r="E100" i="32"/>
  <c r="E104" i="32"/>
  <c r="E61" i="20"/>
  <c r="E82" i="20"/>
  <c r="E73" i="20"/>
  <c r="E52" i="20"/>
  <c r="E97" i="32"/>
  <c r="E42" i="32"/>
  <c r="E43" i="32" s="1"/>
  <c r="E53" i="20"/>
  <c r="E74" i="20"/>
  <c r="F98" i="20"/>
  <c r="F119" i="20" s="1"/>
  <c r="F140" i="20" s="1"/>
  <c r="E57" i="20"/>
  <c r="E78" i="20"/>
  <c r="M15" i="32"/>
  <c r="K15" i="32"/>
  <c r="J15" i="32"/>
  <c r="H15" i="32"/>
  <c r="G15" i="32"/>
  <c r="L15" i="32"/>
  <c r="I15" i="32"/>
  <c r="D79" i="20"/>
  <c r="D58" i="20"/>
  <c r="D144" i="20"/>
  <c r="E95" i="32"/>
  <c r="E87" i="32"/>
  <c r="E51" i="20"/>
  <c r="E72" i="20"/>
  <c r="C19" i="30"/>
  <c r="I61" i="20" s="1"/>
  <c r="C61" i="20"/>
  <c r="C82" i="20"/>
  <c r="E59" i="20"/>
  <c r="E80" i="20"/>
  <c r="M17" i="32"/>
  <c r="L17" i="32"/>
  <c r="K17" i="32"/>
  <c r="I17" i="32"/>
  <c r="J17" i="32"/>
  <c r="H17" i="32"/>
  <c r="G17" i="32"/>
  <c r="M9" i="32"/>
  <c r="L9" i="32"/>
  <c r="K9" i="32"/>
  <c r="J9" i="32"/>
  <c r="I9" i="32"/>
  <c r="G9" i="32"/>
  <c r="H9" i="32"/>
  <c r="H16" i="32"/>
  <c r="L16" i="32"/>
  <c r="G16" i="32"/>
  <c r="K16" i="32"/>
  <c r="M16" i="32"/>
  <c r="J16" i="32"/>
  <c r="F113" i="20"/>
  <c r="C12" i="30"/>
  <c r="I54" i="20" s="1"/>
  <c r="C75" i="20"/>
  <c r="C54" i="20"/>
  <c r="C20" i="30"/>
  <c r="C43" i="32"/>
  <c r="C11" i="30"/>
  <c r="I53" i="20" s="1"/>
  <c r="K42" i="32"/>
  <c r="D104" i="32"/>
  <c r="F97" i="20"/>
  <c r="F118" i="20" s="1"/>
  <c r="F139" i="20" s="1"/>
  <c r="L10" i="32"/>
  <c r="K10" i="32"/>
  <c r="J10" i="32"/>
  <c r="M10" i="32"/>
  <c r="H10" i="32"/>
  <c r="G10" i="32"/>
  <c r="F22" i="21"/>
  <c r="F23" i="21" s="1"/>
  <c r="D87" i="32"/>
  <c r="D95" i="32"/>
  <c r="L13" i="32"/>
  <c r="K13" i="32"/>
  <c r="J13" i="32"/>
  <c r="M13" i="32"/>
  <c r="I13" i="32"/>
  <c r="G13" i="32"/>
  <c r="H13" i="32"/>
  <c r="M19" i="32"/>
  <c r="K19" i="32"/>
  <c r="J19" i="32"/>
  <c r="G19" i="32"/>
  <c r="H19" i="32"/>
  <c r="L19" i="32"/>
  <c r="M12" i="32"/>
  <c r="L12" i="32"/>
  <c r="K12" i="32"/>
  <c r="J12" i="32"/>
  <c r="H12" i="32"/>
  <c r="I12" i="32"/>
  <c r="G12" i="32"/>
  <c r="J18" i="32"/>
  <c r="M18" i="32"/>
  <c r="G18" i="32"/>
  <c r="L18" i="32"/>
  <c r="K18" i="32"/>
  <c r="H18" i="32"/>
  <c r="I18" i="32"/>
  <c r="D74" i="20"/>
  <c r="D53" i="20"/>
  <c r="E107" i="32"/>
  <c r="D105" i="32"/>
  <c r="D122" i="20"/>
  <c r="D143" i="20" s="1"/>
  <c r="E96" i="32"/>
  <c r="E103" i="32"/>
  <c r="E106" i="32"/>
  <c r="E79" i="20"/>
  <c r="E58" i="20"/>
  <c r="E100" i="20" s="1"/>
  <c r="E121" i="20" s="1"/>
  <c r="E142" i="20" s="1"/>
  <c r="D93" i="20" l="1"/>
  <c r="D114" i="20" s="1"/>
  <c r="D135" i="20" s="1"/>
  <c r="G58" i="20"/>
  <c r="H104" i="32"/>
  <c r="I55" i="20"/>
  <c r="I97" i="20" s="1"/>
  <c r="I79" i="32" s="1"/>
  <c r="I100" i="32" s="1"/>
  <c r="J13" i="20"/>
  <c r="K19" i="20"/>
  <c r="V42" i="20"/>
  <c r="L41" i="21"/>
  <c r="G100" i="32"/>
  <c r="J84" i="20"/>
  <c r="J85" i="20" s="1"/>
  <c r="L84" i="20"/>
  <c r="L85" i="20" s="1"/>
  <c r="K20" i="37"/>
  <c r="M84" i="20"/>
  <c r="M85" i="20" s="1"/>
  <c r="G104" i="32"/>
  <c r="S43" i="20"/>
  <c r="S44" i="20" s="1"/>
  <c r="I27" i="21"/>
  <c r="H57" i="20"/>
  <c r="H99" i="20" s="1"/>
  <c r="H21" i="20"/>
  <c r="H22" i="20" s="1"/>
  <c r="T30" i="20"/>
  <c r="J29" i="21" s="1"/>
  <c r="I15" i="20"/>
  <c r="T40" i="20"/>
  <c r="J39" i="21" s="1"/>
  <c r="T29" i="20"/>
  <c r="J28" i="21" s="1"/>
  <c r="T31" i="20"/>
  <c r="J30" i="21" s="1"/>
  <c r="T35" i="20"/>
  <c r="J34" i="21" s="1"/>
  <c r="T32" i="20"/>
  <c r="J31" i="21" s="1"/>
  <c r="T37" i="20"/>
  <c r="J36" i="21" s="1"/>
  <c r="T39" i="20"/>
  <c r="J38" i="21" s="1"/>
  <c r="T34" i="20"/>
  <c r="J33" i="21" s="1"/>
  <c r="T41" i="20"/>
  <c r="J40" i="21" s="1"/>
  <c r="T33" i="20"/>
  <c r="J32" i="21" s="1"/>
  <c r="T36" i="20"/>
  <c r="J35" i="21" s="1"/>
  <c r="T38" i="20"/>
  <c r="J37" i="21" s="1"/>
  <c r="T28" i="20"/>
  <c r="R167" i="20"/>
  <c r="D100" i="20"/>
  <c r="D121" i="20" s="1"/>
  <c r="D142" i="20" s="1"/>
  <c r="G102" i="32"/>
  <c r="G100" i="20"/>
  <c r="G121" i="20" s="1"/>
  <c r="K59" i="20"/>
  <c r="K101" i="20" s="1"/>
  <c r="K83" i="32" s="1"/>
  <c r="K104" i="32" s="1"/>
  <c r="L17" i="20"/>
  <c r="J101" i="20"/>
  <c r="J83" i="32" s="1"/>
  <c r="J104" i="32" s="1"/>
  <c r="J102" i="20"/>
  <c r="J84" i="32" s="1"/>
  <c r="J105" i="32" s="1"/>
  <c r="H84" i="20"/>
  <c r="H85" i="20" s="1"/>
  <c r="L18" i="20"/>
  <c r="K60" i="20"/>
  <c r="K102" i="20" s="1"/>
  <c r="H105" i="32"/>
  <c r="K84" i="20"/>
  <c r="K85" i="20" s="1"/>
  <c r="I84" i="20"/>
  <c r="G84" i="20"/>
  <c r="G85" i="20" s="1"/>
  <c r="K58" i="20"/>
  <c r="K100" i="20" s="1"/>
  <c r="K82" i="32" s="1"/>
  <c r="F109" i="32"/>
  <c r="I122" i="20"/>
  <c r="I143" i="20" s="1"/>
  <c r="E98" i="20"/>
  <c r="E119" i="20" s="1"/>
  <c r="E140" i="20" s="1"/>
  <c r="L58" i="20"/>
  <c r="L100" i="20" s="1"/>
  <c r="H58" i="20"/>
  <c r="H100" i="20" s="1"/>
  <c r="H121" i="20" s="1"/>
  <c r="M58" i="20"/>
  <c r="M100" i="20" s="1"/>
  <c r="J58" i="20"/>
  <c r="J100" i="20" s="1"/>
  <c r="J8" i="11"/>
  <c r="I7" i="11"/>
  <c r="C96" i="20"/>
  <c r="C117" i="20" s="1"/>
  <c r="C138" i="20" s="1"/>
  <c r="R166" i="20"/>
  <c r="D103" i="20"/>
  <c r="D97" i="20"/>
  <c r="D118" i="20" s="1"/>
  <c r="D139" i="20" s="1"/>
  <c r="R189" i="20"/>
  <c r="F145" i="20"/>
  <c r="R158" i="20"/>
  <c r="R162" i="20"/>
  <c r="E95" i="20"/>
  <c r="E116" i="20" s="1"/>
  <c r="E137" i="20" s="1"/>
  <c r="C84" i="20"/>
  <c r="C85" i="20" s="1"/>
  <c r="F105" i="20"/>
  <c r="R154" i="20"/>
  <c r="C103" i="20"/>
  <c r="E99" i="20"/>
  <c r="E120" i="20" s="1"/>
  <c r="E141" i="20" s="1"/>
  <c r="D95" i="20"/>
  <c r="D116" i="20" s="1"/>
  <c r="D137" i="20" s="1"/>
  <c r="R160" i="20"/>
  <c r="R156" i="20"/>
  <c r="M8" i="20"/>
  <c r="I121" i="20"/>
  <c r="K17" i="37"/>
  <c r="D108" i="32"/>
  <c r="F93" i="37" s="1"/>
  <c r="I103" i="20"/>
  <c r="H61" i="20"/>
  <c r="H103" i="20" s="1"/>
  <c r="J61" i="20"/>
  <c r="J103" i="20" s="1"/>
  <c r="G61" i="20"/>
  <c r="G103" i="20" s="1"/>
  <c r="K61" i="20"/>
  <c r="K103" i="20" s="1"/>
  <c r="K21" i="32"/>
  <c r="H123" i="20"/>
  <c r="H144" i="20" s="1"/>
  <c r="J21" i="37"/>
  <c r="H118" i="20"/>
  <c r="H139" i="20" s="1"/>
  <c r="J14" i="37"/>
  <c r="E93" i="20"/>
  <c r="E114" i="20" s="1"/>
  <c r="E135" i="20" s="1"/>
  <c r="D98" i="20"/>
  <c r="D119" i="20" s="1"/>
  <c r="D140" i="20" s="1"/>
  <c r="I21" i="32"/>
  <c r="L21" i="32"/>
  <c r="P168" i="20"/>
  <c r="D124" i="20"/>
  <c r="H100" i="32"/>
  <c r="L52" i="20"/>
  <c r="L94" i="20" s="1"/>
  <c r="L76" i="32" s="1"/>
  <c r="K52" i="20"/>
  <c r="K94" i="20" s="1"/>
  <c r="K76" i="32" s="1"/>
  <c r="J52" i="20"/>
  <c r="J94" i="20" s="1"/>
  <c r="J76" i="32" s="1"/>
  <c r="I94" i="20"/>
  <c r="I76" i="32" s="1"/>
  <c r="M52" i="20"/>
  <c r="M94" i="20" s="1"/>
  <c r="M76" i="32" s="1"/>
  <c r="G52" i="20"/>
  <c r="G94" i="20" s="1"/>
  <c r="H52" i="20"/>
  <c r="H94" i="20" s="1"/>
  <c r="G105" i="32"/>
  <c r="I21" i="37"/>
  <c r="G123" i="20"/>
  <c r="G144" i="20" s="1"/>
  <c r="M62" i="20"/>
  <c r="M104" i="20" s="1"/>
  <c r="L62" i="20"/>
  <c r="L104" i="20" s="1"/>
  <c r="I62" i="20"/>
  <c r="I104" i="20" s="1"/>
  <c r="J62" i="20"/>
  <c r="J104" i="20" s="1"/>
  <c r="K62" i="20"/>
  <c r="K104" i="20" s="1"/>
  <c r="G62" i="20"/>
  <c r="G104" i="20" s="1"/>
  <c r="H62" i="20"/>
  <c r="H104" i="20" s="1"/>
  <c r="C93" i="20"/>
  <c r="C63" i="20"/>
  <c r="C64" i="20" s="1"/>
  <c r="D84" i="20"/>
  <c r="D85" i="20" s="1"/>
  <c r="C134" i="20"/>
  <c r="I16" i="37"/>
  <c r="G120" i="20"/>
  <c r="G141" i="20" s="1"/>
  <c r="G118" i="20"/>
  <c r="G139" i="20" s="1"/>
  <c r="I14" i="37"/>
  <c r="R163" i="20"/>
  <c r="R161" i="20"/>
  <c r="R157" i="20"/>
  <c r="R159" i="20"/>
  <c r="I20" i="37"/>
  <c r="G122" i="20"/>
  <c r="G143" i="20" s="1"/>
  <c r="E101" i="20"/>
  <c r="E122" i="20" s="1"/>
  <c r="E143" i="20" s="1"/>
  <c r="E103" i="20"/>
  <c r="M56" i="20"/>
  <c r="M98" i="20" s="1"/>
  <c r="M80" i="32" s="1"/>
  <c r="I56" i="20"/>
  <c r="I98" i="20" s="1"/>
  <c r="I80" i="32" s="1"/>
  <c r="K56" i="20"/>
  <c r="K98" i="20" s="1"/>
  <c r="K80" i="32" s="1"/>
  <c r="J56" i="20"/>
  <c r="J98" i="20" s="1"/>
  <c r="J80" i="32" s="1"/>
  <c r="G56" i="20"/>
  <c r="G98" i="20" s="1"/>
  <c r="H56" i="20"/>
  <c r="H98" i="20" s="1"/>
  <c r="L56" i="20"/>
  <c r="L98" i="20" s="1"/>
  <c r="L80" i="32" s="1"/>
  <c r="H21" i="32"/>
  <c r="M21" i="32"/>
  <c r="D92" i="20"/>
  <c r="D63" i="20"/>
  <c r="D64" i="20" s="1"/>
  <c r="D104" i="20"/>
  <c r="D125" i="20" s="1"/>
  <c r="D146" i="20" s="1"/>
  <c r="E84" i="20"/>
  <c r="E85" i="20" s="1"/>
  <c r="I123" i="20"/>
  <c r="I144" i="20" s="1"/>
  <c r="K21" i="37"/>
  <c r="E92" i="20"/>
  <c r="E63" i="20"/>
  <c r="E64" i="20" s="1"/>
  <c r="M53" i="20"/>
  <c r="M95" i="20" s="1"/>
  <c r="M77" i="32" s="1"/>
  <c r="I95" i="20"/>
  <c r="I77" i="32" s="1"/>
  <c r="L53" i="20"/>
  <c r="L95" i="20" s="1"/>
  <c r="L77" i="32" s="1"/>
  <c r="H53" i="20"/>
  <c r="H95" i="20" s="1"/>
  <c r="J53" i="20"/>
  <c r="J95" i="20" s="1"/>
  <c r="J77" i="32" s="1"/>
  <c r="K53" i="20"/>
  <c r="K95" i="20" s="1"/>
  <c r="K77" i="32" s="1"/>
  <c r="G53" i="20"/>
  <c r="G95" i="20" s="1"/>
  <c r="F106" i="20"/>
  <c r="I104" i="32"/>
  <c r="M54" i="20"/>
  <c r="M96" i="20" s="1"/>
  <c r="G54" i="20"/>
  <c r="G96" i="20" s="1"/>
  <c r="K54" i="20"/>
  <c r="K96" i="20" s="1"/>
  <c r="J54" i="20"/>
  <c r="J96" i="20" s="1"/>
  <c r="L54" i="20"/>
  <c r="L96" i="20" s="1"/>
  <c r="H54" i="20"/>
  <c r="H96" i="20" s="1"/>
  <c r="I96" i="20"/>
  <c r="R164" i="20"/>
  <c r="R165" i="20"/>
  <c r="R155" i="20"/>
  <c r="R180" i="20"/>
  <c r="R177" i="20"/>
  <c r="R187" i="20"/>
  <c r="F134" i="20"/>
  <c r="F147" i="20" s="1"/>
  <c r="R188" i="20"/>
  <c r="R181" i="20"/>
  <c r="R183" i="20"/>
  <c r="R184" i="20"/>
  <c r="R186" i="20"/>
  <c r="R179" i="20"/>
  <c r="R182" i="20"/>
  <c r="R185" i="20"/>
  <c r="F126" i="20"/>
  <c r="F127" i="20" s="1"/>
  <c r="R176" i="20"/>
  <c r="R175" i="20"/>
  <c r="R178" i="20"/>
  <c r="H122" i="20"/>
  <c r="H143" i="20" s="1"/>
  <c r="J20" i="37"/>
  <c r="C124" i="20"/>
  <c r="O168" i="20"/>
  <c r="I105" i="32"/>
  <c r="E108" i="32"/>
  <c r="G93" i="37" s="1"/>
  <c r="E94" i="20"/>
  <c r="E115" i="20" s="1"/>
  <c r="E136" i="20" s="1"/>
  <c r="G21" i="32"/>
  <c r="J21" i="32"/>
  <c r="D96" i="20"/>
  <c r="D117" i="20" s="1"/>
  <c r="D138" i="20" s="1"/>
  <c r="E102" i="20"/>
  <c r="E123" i="20" s="1"/>
  <c r="E144" i="20" s="1"/>
  <c r="M51" i="20"/>
  <c r="M93" i="20" s="1"/>
  <c r="M75" i="32" s="1"/>
  <c r="K51" i="20"/>
  <c r="K93" i="20" s="1"/>
  <c r="K75" i="32" s="1"/>
  <c r="J51" i="20"/>
  <c r="J93" i="20" s="1"/>
  <c r="J75" i="32" s="1"/>
  <c r="L51" i="20"/>
  <c r="L93" i="20" s="1"/>
  <c r="L75" i="32" s="1"/>
  <c r="I51" i="20"/>
  <c r="I93" i="20" s="1"/>
  <c r="I75" i="32" s="1"/>
  <c r="G51" i="20"/>
  <c r="G93" i="20" s="1"/>
  <c r="H51" i="20"/>
  <c r="H93" i="20" s="1"/>
  <c r="M50" i="20"/>
  <c r="H50" i="20"/>
  <c r="L50" i="20"/>
  <c r="C21" i="30"/>
  <c r="G50" i="20"/>
  <c r="K50" i="20"/>
  <c r="J50" i="20"/>
  <c r="I50" i="20"/>
  <c r="D94" i="20"/>
  <c r="D115" i="20" s="1"/>
  <c r="D136" i="20" s="1"/>
  <c r="K14" i="37" l="1"/>
  <c r="L19" i="20"/>
  <c r="M41" i="21"/>
  <c r="W42" i="20"/>
  <c r="K13" i="20"/>
  <c r="J55" i="20"/>
  <c r="J97" i="20" s="1"/>
  <c r="I118" i="20"/>
  <c r="I139" i="20" s="1"/>
  <c r="L21" i="37"/>
  <c r="J123" i="20"/>
  <c r="J144" i="20" s="1"/>
  <c r="G82" i="32"/>
  <c r="G103" i="32" s="1"/>
  <c r="I17" i="37"/>
  <c r="K122" i="20"/>
  <c r="K143" i="20" s="1"/>
  <c r="L20" i="37"/>
  <c r="J122" i="20"/>
  <c r="J143" i="20" s="1"/>
  <c r="K84" i="32"/>
  <c r="K105" i="32" s="1"/>
  <c r="M21" i="37"/>
  <c r="K123" i="20"/>
  <c r="H81" i="32"/>
  <c r="H102" i="32" s="1"/>
  <c r="J16" i="37"/>
  <c r="H120" i="20"/>
  <c r="M20" i="37"/>
  <c r="M18" i="20"/>
  <c r="M60" i="20" s="1"/>
  <c r="M102" i="20" s="1"/>
  <c r="L60" i="20"/>
  <c r="L102" i="20" s="1"/>
  <c r="I57" i="20"/>
  <c r="I99" i="20" s="1"/>
  <c r="U37" i="20"/>
  <c r="K36" i="21" s="1"/>
  <c r="U29" i="20"/>
  <c r="K28" i="21" s="1"/>
  <c r="U36" i="20"/>
  <c r="K35" i="21" s="1"/>
  <c r="U31" i="20"/>
  <c r="K30" i="21" s="1"/>
  <c r="U32" i="20"/>
  <c r="K31" i="21" s="1"/>
  <c r="U38" i="20"/>
  <c r="K37" i="21" s="1"/>
  <c r="U35" i="20"/>
  <c r="K34" i="21" s="1"/>
  <c r="U30" i="20"/>
  <c r="K29" i="21" s="1"/>
  <c r="I21" i="20"/>
  <c r="I22" i="20" s="1"/>
  <c r="U40" i="20"/>
  <c r="K39" i="21" s="1"/>
  <c r="U33" i="20"/>
  <c r="K32" i="21" s="1"/>
  <c r="J15" i="20"/>
  <c r="U39" i="20"/>
  <c r="K38" i="21" s="1"/>
  <c r="U41" i="20"/>
  <c r="K40" i="21" s="1"/>
  <c r="U34" i="20"/>
  <c r="K33" i="21" s="1"/>
  <c r="U28" i="20"/>
  <c r="I42" i="21"/>
  <c r="M17" i="20"/>
  <c r="M59" i="20" s="1"/>
  <c r="M101" i="20" s="1"/>
  <c r="L59" i="20"/>
  <c r="L101" i="20" s="1"/>
  <c r="T43" i="20"/>
  <c r="T44" i="20" s="1"/>
  <c r="J27" i="21"/>
  <c r="L121" i="20"/>
  <c r="L82" i="32"/>
  <c r="L103" i="32" s="1"/>
  <c r="J121" i="20"/>
  <c r="J82" i="32"/>
  <c r="O17" i="37"/>
  <c r="M82" i="32"/>
  <c r="M103" i="32" s="1"/>
  <c r="L17" i="37"/>
  <c r="K121" i="20"/>
  <c r="K142" i="20" s="1"/>
  <c r="M121" i="20"/>
  <c r="M17" i="37"/>
  <c r="J17" i="37"/>
  <c r="J7" i="11"/>
  <c r="K8" i="11"/>
  <c r="H82" i="32"/>
  <c r="H103" i="32" s="1"/>
  <c r="N17" i="37"/>
  <c r="R169" i="20"/>
  <c r="R170" i="20" s="1"/>
  <c r="E109" i="32"/>
  <c r="K103" i="32"/>
  <c r="I103" i="32"/>
  <c r="O13" i="37"/>
  <c r="M78" i="32"/>
  <c r="M117" i="20"/>
  <c r="L119" i="20"/>
  <c r="N15" i="37"/>
  <c r="L115" i="20"/>
  <c r="N11" i="37"/>
  <c r="I63" i="20"/>
  <c r="I92" i="20"/>
  <c r="I74" i="32" s="1"/>
  <c r="J10" i="37"/>
  <c r="H114" i="20"/>
  <c r="H75" i="32"/>
  <c r="H96" i="32" s="1"/>
  <c r="J114" i="20"/>
  <c r="L10" i="37"/>
  <c r="C145" i="20"/>
  <c r="O189" i="20"/>
  <c r="J117" i="20"/>
  <c r="L13" i="37"/>
  <c r="J78" i="32"/>
  <c r="K116" i="20"/>
  <c r="M12" i="37"/>
  <c r="I116" i="20"/>
  <c r="K12" i="37"/>
  <c r="H119" i="20"/>
  <c r="J15" i="37"/>
  <c r="H80" i="32"/>
  <c r="H101" i="32" s="1"/>
  <c r="I119" i="20"/>
  <c r="K15" i="37"/>
  <c r="J125" i="20"/>
  <c r="L23" i="37"/>
  <c r="J86" i="32"/>
  <c r="I115" i="20"/>
  <c r="K11" i="37"/>
  <c r="K94" i="37"/>
  <c r="M94" i="37"/>
  <c r="M21" i="21"/>
  <c r="K85" i="32"/>
  <c r="W168" i="20"/>
  <c r="M22" i="37"/>
  <c r="K124" i="20"/>
  <c r="K22" i="37"/>
  <c r="I124" i="20"/>
  <c r="U168" i="20"/>
  <c r="K21" i="21"/>
  <c r="I85" i="32"/>
  <c r="M92" i="20"/>
  <c r="M74" i="32" s="1"/>
  <c r="L117" i="20"/>
  <c r="N13" i="37"/>
  <c r="L78" i="32"/>
  <c r="I12" i="37"/>
  <c r="G77" i="32"/>
  <c r="G98" i="32" s="1"/>
  <c r="G116" i="20"/>
  <c r="L116" i="20"/>
  <c r="N12" i="37"/>
  <c r="O94" i="37"/>
  <c r="K119" i="20"/>
  <c r="M15" i="37"/>
  <c r="M86" i="32"/>
  <c r="O23" i="37"/>
  <c r="M125" i="20"/>
  <c r="M115" i="20"/>
  <c r="O11" i="37"/>
  <c r="N94" i="37"/>
  <c r="J92" i="20"/>
  <c r="L92" i="20"/>
  <c r="G114" i="20"/>
  <c r="I10" i="37"/>
  <c r="G75" i="32"/>
  <c r="M10" i="37"/>
  <c r="K114" i="20"/>
  <c r="L94" i="37"/>
  <c r="I117" i="20"/>
  <c r="K13" i="37"/>
  <c r="I78" i="32"/>
  <c r="K117" i="20"/>
  <c r="K78" i="32"/>
  <c r="M13" i="37"/>
  <c r="L12" i="37"/>
  <c r="J116" i="20"/>
  <c r="O12" i="37"/>
  <c r="M116" i="20"/>
  <c r="Q162" i="20"/>
  <c r="Q163" i="20"/>
  <c r="Q161" i="20"/>
  <c r="Q156" i="20"/>
  <c r="Q166" i="20"/>
  <c r="Q157" i="20"/>
  <c r="E113" i="20"/>
  <c r="Q158" i="20"/>
  <c r="Q167" i="20"/>
  <c r="Q159" i="20"/>
  <c r="Q155" i="20"/>
  <c r="Q154" i="20"/>
  <c r="Q160" i="20"/>
  <c r="Q165" i="20"/>
  <c r="E105" i="20"/>
  <c r="Q164" i="20"/>
  <c r="P155" i="20"/>
  <c r="P164" i="20"/>
  <c r="P156" i="20"/>
  <c r="P157" i="20"/>
  <c r="P161" i="20"/>
  <c r="P154" i="20"/>
  <c r="P163" i="20"/>
  <c r="P159" i="20"/>
  <c r="P158" i="20"/>
  <c r="D113" i="20"/>
  <c r="P166" i="20"/>
  <c r="P160" i="20"/>
  <c r="P165" i="20"/>
  <c r="D105" i="20"/>
  <c r="P167" i="20"/>
  <c r="P162" i="20"/>
  <c r="D109" i="32"/>
  <c r="I15" i="37"/>
  <c r="G119" i="20"/>
  <c r="G80" i="32"/>
  <c r="G101" i="32" s="1"/>
  <c r="M119" i="20"/>
  <c r="O15" i="37"/>
  <c r="H125" i="20"/>
  <c r="J23" i="37"/>
  <c r="H86" i="32"/>
  <c r="H107" i="32" s="1"/>
  <c r="I86" i="32"/>
  <c r="I125" i="20"/>
  <c r="K23" i="37"/>
  <c r="H76" i="32"/>
  <c r="H97" i="32" s="1"/>
  <c r="J11" i="37"/>
  <c r="H115" i="20"/>
  <c r="J115" i="20"/>
  <c r="L11" i="37"/>
  <c r="D145" i="20"/>
  <c r="P189" i="20"/>
  <c r="G85" i="32"/>
  <c r="G106" i="32" s="1"/>
  <c r="I21" i="21"/>
  <c r="I22" i="37"/>
  <c r="S168" i="20"/>
  <c r="G124" i="20"/>
  <c r="G63" i="20"/>
  <c r="G64" i="20" s="1"/>
  <c r="G92" i="20"/>
  <c r="N10" i="37"/>
  <c r="L114" i="20"/>
  <c r="C114" i="20"/>
  <c r="O157" i="20"/>
  <c r="O154" i="20"/>
  <c r="O167" i="20"/>
  <c r="O155" i="20"/>
  <c r="O156" i="20"/>
  <c r="O160" i="20"/>
  <c r="O158" i="20"/>
  <c r="C105" i="20"/>
  <c r="O165" i="20"/>
  <c r="O166" i="20"/>
  <c r="O161" i="20"/>
  <c r="O162" i="20"/>
  <c r="O159" i="20"/>
  <c r="O163" i="20"/>
  <c r="O164" i="20"/>
  <c r="K125" i="20"/>
  <c r="K86" i="32"/>
  <c r="M23" i="37"/>
  <c r="J22" i="37"/>
  <c r="J21" i="21"/>
  <c r="H124" i="20"/>
  <c r="H85" i="32"/>
  <c r="H106" i="32" s="1"/>
  <c r="T168" i="20"/>
  <c r="K92" i="20"/>
  <c r="K74" i="32" s="1"/>
  <c r="H63" i="20"/>
  <c r="H64" i="20" s="1"/>
  <c r="H92" i="20"/>
  <c r="K10" i="37"/>
  <c r="I114" i="20"/>
  <c r="M114" i="20"/>
  <c r="O10" i="37"/>
  <c r="I94" i="37"/>
  <c r="R190" i="20"/>
  <c r="R191" i="20" s="1"/>
  <c r="J13" i="37"/>
  <c r="H117" i="20"/>
  <c r="H78" i="32"/>
  <c r="H99" i="32" s="1"/>
  <c r="I13" i="37"/>
  <c r="G117" i="20"/>
  <c r="G78" i="32"/>
  <c r="G99" i="32" s="1"/>
  <c r="J12" i="37"/>
  <c r="H77" i="32"/>
  <c r="H98" i="32" s="1"/>
  <c r="H116" i="20"/>
  <c r="J94" i="37"/>
  <c r="L15" i="37"/>
  <c r="J119" i="20"/>
  <c r="Q168" i="20"/>
  <c r="E124" i="20"/>
  <c r="G125" i="20"/>
  <c r="I23" i="37"/>
  <c r="G86" i="32"/>
  <c r="G107" i="32" s="1"/>
  <c r="L125" i="20"/>
  <c r="N23" i="37"/>
  <c r="L86" i="32"/>
  <c r="G115" i="20"/>
  <c r="I11" i="37"/>
  <c r="G76" i="32"/>
  <c r="G97" i="32" s="1"/>
  <c r="K115" i="20"/>
  <c r="M11" i="37"/>
  <c r="L21" i="21"/>
  <c r="J124" i="20"/>
  <c r="J85" i="32"/>
  <c r="V168" i="20"/>
  <c r="L22" i="37"/>
  <c r="I142" i="20"/>
  <c r="J79" i="32" l="1"/>
  <c r="J100" i="32" s="1"/>
  <c r="L14" i="37"/>
  <c r="J118" i="20"/>
  <c r="L13" i="20"/>
  <c r="K55" i="20"/>
  <c r="K97" i="20" s="1"/>
  <c r="X42" i="20"/>
  <c r="M19" i="20"/>
  <c r="N41" i="21"/>
  <c r="L61" i="20"/>
  <c r="L103" i="20" s="1"/>
  <c r="G142" i="20"/>
  <c r="J142" i="20"/>
  <c r="K144" i="20"/>
  <c r="H141" i="20"/>
  <c r="I43" i="21"/>
  <c r="L83" i="32"/>
  <c r="L104" i="32" s="1"/>
  <c r="N20" i="37"/>
  <c r="L122" i="20"/>
  <c r="U43" i="20"/>
  <c r="U44" i="20" s="1"/>
  <c r="K27" i="21"/>
  <c r="K15" i="20"/>
  <c r="J57" i="20"/>
  <c r="V37" i="20"/>
  <c r="L36" i="21" s="1"/>
  <c r="V32" i="20"/>
  <c r="L31" i="21" s="1"/>
  <c r="V34" i="20"/>
  <c r="L33" i="21" s="1"/>
  <c r="J21" i="20"/>
  <c r="J22" i="20" s="1"/>
  <c r="V36" i="20"/>
  <c r="L35" i="21" s="1"/>
  <c r="V29" i="20"/>
  <c r="L28" i="21" s="1"/>
  <c r="V39" i="20"/>
  <c r="L38" i="21" s="1"/>
  <c r="V41" i="20"/>
  <c r="L40" i="21" s="1"/>
  <c r="V31" i="20"/>
  <c r="L30" i="21" s="1"/>
  <c r="V33" i="20"/>
  <c r="L32" i="21" s="1"/>
  <c r="V38" i="20"/>
  <c r="L37" i="21" s="1"/>
  <c r="V30" i="20"/>
  <c r="L29" i="21" s="1"/>
  <c r="V28" i="20"/>
  <c r="V35" i="20"/>
  <c r="L34" i="21" s="1"/>
  <c r="V40" i="20"/>
  <c r="L39" i="21" s="1"/>
  <c r="I81" i="32"/>
  <c r="I102" i="32" s="1"/>
  <c r="K16" i="37"/>
  <c r="I120" i="20"/>
  <c r="J42" i="21"/>
  <c r="M83" i="32"/>
  <c r="M104" i="32" s="1"/>
  <c r="M122" i="20"/>
  <c r="O20" i="37"/>
  <c r="L84" i="32"/>
  <c r="L105" i="32" s="1"/>
  <c r="L123" i="20"/>
  <c r="N21" i="37"/>
  <c r="M84" i="32"/>
  <c r="M105" i="32" s="1"/>
  <c r="O21" i="37"/>
  <c r="M123" i="20"/>
  <c r="L74" i="32"/>
  <c r="J74" i="32"/>
  <c r="J103" i="32"/>
  <c r="M142" i="20"/>
  <c r="L142" i="20"/>
  <c r="H142" i="20"/>
  <c r="K7" i="11"/>
  <c r="L8" i="11"/>
  <c r="P169" i="20"/>
  <c r="P170" i="20" s="1"/>
  <c r="J98" i="32"/>
  <c r="M107" i="32"/>
  <c r="L98" i="32"/>
  <c r="L99" i="32"/>
  <c r="I97" i="32"/>
  <c r="K97" i="32"/>
  <c r="J101" i="32"/>
  <c r="I96" i="32"/>
  <c r="K107" i="32"/>
  <c r="L96" i="32"/>
  <c r="I107" i="32"/>
  <c r="M98" i="32"/>
  <c r="I99" i="32"/>
  <c r="K101" i="32"/>
  <c r="I106" i="32"/>
  <c r="K106" i="32"/>
  <c r="I98" i="32"/>
  <c r="J99" i="32"/>
  <c r="L101" i="32"/>
  <c r="M99" i="32"/>
  <c r="L107" i="32"/>
  <c r="J97" i="32"/>
  <c r="J106" i="32"/>
  <c r="M96" i="32"/>
  <c r="M101" i="32"/>
  <c r="K96" i="32"/>
  <c r="J107" i="32"/>
  <c r="K98" i="32"/>
  <c r="J96" i="32"/>
  <c r="L97" i="32"/>
  <c r="K99" i="32"/>
  <c r="M97" i="32"/>
  <c r="I101" i="32"/>
  <c r="I135" i="20"/>
  <c r="M138" i="20"/>
  <c r="M135" i="20"/>
  <c r="G146" i="20"/>
  <c r="J136" i="20"/>
  <c r="M146" i="20"/>
  <c r="J140" i="20"/>
  <c r="L135" i="20"/>
  <c r="H136" i="20"/>
  <c r="L140" i="20"/>
  <c r="I136" i="20"/>
  <c r="L146" i="20"/>
  <c r="H137" i="20"/>
  <c r="I146" i="20"/>
  <c r="M137" i="20"/>
  <c r="K138" i="20"/>
  <c r="J146" i="20"/>
  <c r="K137" i="20"/>
  <c r="J135" i="20"/>
  <c r="M136" i="20"/>
  <c r="I140" i="20"/>
  <c r="T160" i="20"/>
  <c r="J13" i="21" s="1"/>
  <c r="T156" i="20"/>
  <c r="J9" i="21" s="1"/>
  <c r="T154" i="20"/>
  <c r="T162" i="20"/>
  <c r="J15" i="21" s="1"/>
  <c r="T157" i="20"/>
  <c r="J10" i="21" s="1"/>
  <c r="T164" i="20"/>
  <c r="J17" i="21" s="1"/>
  <c r="T155" i="20"/>
  <c r="J8" i="21" s="1"/>
  <c r="T167" i="20"/>
  <c r="J20" i="21" s="1"/>
  <c r="T165" i="20"/>
  <c r="J18" i="21" s="1"/>
  <c r="T158" i="20"/>
  <c r="J11" i="21" s="1"/>
  <c r="T159" i="20"/>
  <c r="J12" i="21" s="1"/>
  <c r="T161" i="20"/>
  <c r="J14" i="21" s="1"/>
  <c r="H113" i="20"/>
  <c r="H74" i="32"/>
  <c r="T166" i="20"/>
  <c r="J19" i="21" s="1"/>
  <c r="T163" i="20"/>
  <c r="J16" i="21" s="1"/>
  <c r="H105" i="20"/>
  <c r="J8" i="37"/>
  <c r="G113" i="20"/>
  <c r="S177" i="20" s="1"/>
  <c r="I8" i="37"/>
  <c r="G74" i="32"/>
  <c r="S158" i="20"/>
  <c r="I11" i="21" s="1"/>
  <c r="G105" i="20"/>
  <c r="S154" i="20"/>
  <c r="S160" i="20"/>
  <c r="I13" i="21" s="1"/>
  <c r="S156" i="20"/>
  <c r="I9" i="21" s="1"/>
  <c r="S163" i="20"/>
  <c r="I16" i="21" s="1"/>
  <c r="S164" i="20"/>
  <c r="I17" i="21" s="1"/>
  <c r="S157" i="20"/>
  <c r="I10" i="21" s="1"/>
  <c r="S159" i="20"/>
  <c r="I12" i="21" s="1"/>
  <c r="S167" i="20"/>
  <c r="I20" i="21" s="1"/>
  <c r="S165" i="20"/>
  <c r="I18" i="21" s="1"/>
  <c r="S166" i="20"/>
  <c r="I19" i="21" s="1"/>
  <c r="S161" i="20"/>
  <c r="I14" i="21" s="1"/>
  <c r="S162" i="20"/>
  <c r="I15" i="21" s="1"/>
  <c r="I113" i="20"/>
  <c r="K8" i="37"/>
  <c r="U154" i="20"/>
  <c r="U167" i="20"/>
  <c r="K20" i="21" s="1"/>
  <c r="I105" i="20"/>
  <c r="U158" i="20"/>
  <c r="K11" i="21" s="1"/>
  <c r="U161" i="20"/>
  <c r="K14" i="21" s="1"/>
  <c r="U156" i="20"/>
  <c r="K9" i="21" s="1"/>
  <c r="U160" i="20"/>
  <c r="K13" i="21" s="1"/>
  <c r="U157" i="20"/>
  <c r="K10" i="21" s="1"/>
  <c r="U163" i="20"/>
  <c r="K16" i="21" s="1"/>
  <c r="U155" i="20"/>
  <c r="K8" i="21" s="1"/>
  <c r="U159" i="20"/>
  <c r="K12" i="21" s="1"/>
  <c r="U164" i="20"/>
  <c r="K17" i="21" s="1"/>
  <c r="U165" i="20"/>
  <c r="K18" i="21" s="1"/>
  <c r="U166" i="20"/>
  <c r="K19" i="21" s="1"/>
  <c r="U162" i="20"/>
  <c r="K15" i="21" s="1"/>
  <c r="H138" i="20"/>
  <c r="O169" i="20"/>
  <c r="O170" i="20" s="1"/>
  <c r="M140" i="20"/>
  <c r="J137" i="20"/>
  <c r="I138" i="20"/>
  <c r="K135" i="20"/>
  <c r="K140" i="20"/>
  <c r="L137" i="20"/>
  <c r="L138" i="20"/>
  <c r="K145" i="20"/>
  <c r="W189" i="20"/>
  <c r="H140" i="20"/>
  <c r="L136" i="20"/>
  <c r="D106" i="20"/>
  <c r="P178" i="20"/>
  <c r="P179" i="20"/>
  <c r="P183" i="20"/>
  <c r="P188" i="20"/>
  <c r="D134" i="20"/>
  <c r="D147" i="20" s="1"/>
  <c r="P187" i="20"/>
  <c r="P181" i="20"/>
  <c r="P185" i="20"/>
  <c r="P177" i="20"/>
  <c r="P184" i="20"/>
  <c r="D126" i="20"/>
  <c r="D127" i="20" s="1"/>
  <c r="P176" i="20"/>
  <c r="P180" i="20"/>
  <c r="P186" i="20"/>
  <c r="P175" i="20"/>
  <c r="P182" i="20"/>
  <c r="J113" i="20"/>
  <c r="L8" i="37"/>
  <c r="G136" i="20"/>
  <c r="E145" i="20"/>
  <c r="Q189" i="20"/>
  <c r="G138" i="20"/>
  <c r="M8" i="37"/>
  <c r="K113" i="20"/>
  <c r="T189" i="20"/>
  <c r="H145" i="20"/>
  <c r="H146" i="20"/>
  <c r="Q169" i="20"/>
  <c r="Q170" i="20" s="1"/>
  <c r="L113" i="20"/>
  <c r="N8" i="37"/>
  <c r="S155" i="20"/>
  <c r="I8" i="21" s="1"/>
  <c r="O8" i="37"/>
  <c r="M113" i="20"/>
  <c r="J138" i="20"/>
  <c r="H135" i="20"/>
  <c r="J145" i="20"/>
  <c r="V189" i="20"/>
  <c r="K136" i="20"/>
  <c r="K146" i="20"/>
  <c r="C106" i="20"/>
  <c r="C135" i="20"/>
  <c r="C147" i="20" s="1"/>
  <c r="O185" i="20"/>
  <c r="O180" i="20"/>
  <c r="O179" i="20"/>
  <c r="O183" i="20"/>
  <c r="O177" i="20"/>
  <c r="O182" i="20"/>
  <c r="O178" i="20"/>
  <c r="O186" i="20"/>
  <c r="C126" i="20"/>
  <c r="C127" i="20" s="1"/>
  <c r="O181" i="20"/>
  <c r="O187" i="20"/>
  <c r="O175" i="20"/>
  <c r="O184" i="20"/>
  <c r="O176" i="20"/>
  <c r="O188" i="20"/>
  <c r="S189" i="20"/>
  <c r="G145" i="20"/>
  <c r="G140" i="20"/>
  <c r="E106" i="20"/>
  <c r="E134" i="20"/>
  <c r="Q175" i="20"/>
  <c r="Q176" i="20"/>
  <c r="Q186" i="20"/>
  <c r="E126" i="20"/>
  <c r="E127" i="20" s="1"/>
  <c r="Q188" i="20"/>
  <c r="Q181" i="20"/>
  <c r="Q187" i="20"/>
  <c r="Q184" i="20"/>
  <c r="Q177" i="20"/>
  <c r="Q182" i="20"/>
  <c r="Q185" i="20"/>
  <c r="Q183" i="20"/>
  <c r="Q180" i="20"/>
  <c r="Q179" i="20"/>
  <c r="Q178" i="20"/>
  <c r="G135" i="20"/>
  <c r="G96" i="32"/>
  <c r="G137" i="20"/>
  <c r="I145" i="20"/>
  <c r="U189" i="20"/>
  <c r="I137" i="20"/>
  <c r="J139" i="20" l="1"/>
  <c r="M13" i="20"/>
  <c r="M55" i="20" s="1"/>
  <c r="M97" i="20" s="1"/>
  <c r="L55" i="20"/>
  <c r="L97" i="20" s="1"/>
  <c r="O41" i="21"/>
  <c r="Y42" i="20"/>
  <c r="M61" i="20"/>
  <c r="M103" i="20" s="1"/>
  <c r="X168" i="20"/>
  <c r="L124" i="20"/>
  <c r="L85" i="32"/>
  <c r="L106" i="32" s="1"/>
  <c r="N22" i="37"/>
  <c r="N21" i="21"/>
  <c r="K79" i="32"/>
  <c r="K100" i="32" s="1"/>
  <c r="K118" i="20"/>
  <c r="M14" i="37"/>
  <c r="I141" i="20"/>
  <c r="L143" i="20"/>
  <c r="K42" i="21"/>
  <c r="E147" i="20"/>
  <c r="V43" i="20"/>
  <c r="V44" i="20" s="1"/>
  <c r="L27" i="21"/>
  <c r="M144" i="20"/>
  <c r="L144" i="20"/>
  <c r="J43" i="21"/>
  <c r="J99" i="20"/>
  <c r="J63" i="20"/>
  <c r="J64" i="20" s="1"/>
  <c r="M143" i="20"/>
  <c r="L15" i="20"/>
  <c r="K57" i="20"/>
  <c r="W36" i="20"/>
  <c r="M35" i="21" s="1"/>
  <c r="W38" i="20"/>
  <c r="M37" i="21" s="1"/>
  <c r="W29" i="20"/>
  <c r="M28" i="21" s="1"/>
  <c r="W34" i="20"/>
  <c r="M33" i="21" s="1"/>
  <c r="W39" i="20"/>
  <c r="M38" i="21" s="1"/>
  <c r="W28" i="20"/>
  <c r="W35" i="20"/>
  <c r="M34" i="21" s="1"/>
  <c r="W33" i="20"/>
  <c r="M32" i="21" s="1"/>
  <c r="W31" i="20"/>
  <c r="M30" i="21" s="1"/>
  <c r="W40" i="20"/>
  <c r="M39" i="21" s="1"/>
  <c r="W32" i="20"/>
  <c r="M31" i="21" s="1"/>
  <c r="W41" i="20"/>
  <c r="M40" i="21" s="1"/>
  <c r="W37" i="20"/>
  <c r="M36" i="21" s="1"/>
  <c r="W30" i="20"/>
  <c r="M29" i="21" s="1"/>
  <c r="K21" i="20"/>
  <c r="K22" i="20" s="1"/>
  <c r="L7" i="11"/>
  <c r="M8" i="11"/>
  <c r="L95" i="32"/>
  <c r="M95" i="32"/>
  <c r="J134" i="20"/>
  <c r="K7" i="21"/>
  <c r="K22" i="21" s="1"/>
  <c r="K23" i="21" s="1"/>
  <c r="U169" i="20"/>
  <c r="U170" i="20" s="1"/>
  <c r="G106" i="20"/>
  <c r="S187" i="20"/>
  <c r="S181" i="20"/>
  <c r="S183" i="20"/>
  <c r="S182" i="20"/>
  <c r="G134" i="20"/>
  <c r="G147" i="20" s="1"/>
  <c r="S188" i="20"/>
  <c r="S184" i="20"/>
  <c r="G126" i="20"/>
  <c r="G127" i="20" s="1"/>
  <c r="S186" i="20"/>
  <c r="S180" i="20"/>
  <c r="S185" i="20"/>
  <c r="S176" i="20"/>
  <c r="S175" i="20"/>
  <c r="S179" i="20"/>
  <c r="S178" i="20"/>
  <c r="J7" i="21"/>
  <c r="J22" i="21" s="1"/>
  <c r="J23" i="21" s="1"/>
  <c r="T169" i="20"/>
  <c r="T170" i="20" s="1"/>
  <c r="J95" i="32"/>
  <c r="I134" i="20"/>
  <c r="I95" i="32"/>
  <c r="I87" i="32"/>
  <c r="O190" i="20"/>
  <c r="O191" i="20" s="1"/>
  <c r="L134" i="20"/>
  <c r="I106" i="20"/>
  <c r="H87" i="32"/>
  <c r="H95" i="32"/>
  <c r="K134" i="20"/>
  <c r="I7" i="21"/>
  <c r="I22" i="21" s="1"/>
  <c r="I23" i="21" s="1"/>
  <c r="S169" i="20"/>
  <c r="S170" i="20" s="1"/>
  <c r="Q190" i="20"/>
  <c r="Q191" i="20" s="1"/>
  <c r="M134" i="20"/>
  <c r="K95" i="32"/>
  <c r="P190" i="20"/>
  <c r="P191" i="20" s="1"/>
  <c r="I126" i="20"/>
  <c r="I127" i="20" s="1"/>
  <c r="U186" i="20"/>
  <c r="U185" i="20"/>
  <c r="U188" i="20"/>
  <c r="U175" i="20"/>
  <c r="U183" i="20"/>
  <c r="U177" i="20"/>
  <c r="U180" i="20"/>
  <c r="U182" i="20"/>
  <c r="U179" i="20"/>
  <c r="U178" i="20"/>
  <c r="U176" i="20"/>
  <c r="U184" i="20"/>
  <c r="U181" i="20"/>
  <c r="U187" i="20"/>
  <c r="G95" i="32"/>
  <c r="G87" i="32"/>
  <c r="H106" i="20"/>
  <c r="T178" i="20"/>
  <c r="H134" i="20"/>
  <c r="H147" i="20" s="1"/>
  <c r="T188" i="20"/>
  <c r="T183" i="20"/>
  <c r="T180" i="20"/>
  <c r="T185" i="20"/>
  <c r="T177" i="20"/>
  <c r="T181" i="20"/>
  <c r="T175" i="20"/>
  <c r="T187" i="20"/>
  <c r="H126" i="20"/>
  <c r="H127" i="20" s="1"/>
  <c r="T179" i="20"/>
  <c r="T182" i="20"/>
  <c r="T186" i="20"/>
  <c r="T176" i="20"/>
  <c r="T184" i="20"/>
  <c r="K139" i="20" l="1"/>
  <c r="I147" i="20"/>
  <c r="L79" i="32"/>
  <c r="L100" i="32" s="1"/>
  <c r="L118" i="20"/>
  <c r="N14" i="37"/>
  <c r="L145" i="20"/>
  <c r="X189" i="20"/>
  <c r="O21" i="21"/>
  <c r="M124" i="20"/>
  <c r="M85" i="32"/>
  <c r="M106" i="32" s="1"/>
  <c r="Y168" i="20"/>
  <c r="O22" i="37"/>
  <c r="M79" i="32"/>
  <c r="M100" i="32" s="1"/>
  <c r="M118" i="20"/>
  <c r="O14" i="37"/>
  <c r="M27" i="21"/>
  <c r="W43" i="20"/>
  <c r="W44" i="20" s="1"/>
  <c r="L42" i="21"/>
  <c r="K99" i="20"/>
  <c r="K63" i="20"/>
  <c r="K64" i="20" s="1"/>
  <c r="J81" i="32"/>
  <c r="J120" i="20"/>
  <c r="L16" i="37"/>
  <c r="V166" i="20"/>
  <c r="L19" i="21" s="1"/>
  <c r="V158" i="20"/>
  <c r="L11" i="21" s="1"/>
  <c r="V160" i="20"/>
  <c r="L13" i="21" s="1"/>
  <c r="V165" i="20"/>
  <c r="L18" i="21" s="1"/>
  <c r="J105" i="20"/>
  <c r="J106" i="20" s="1"/>
  <c r="V167" i="20"/>
  <c r="L20" i="21" s="1"/>
  <c r="V156" i="20"/>
  <c r="L9" i="21" s="1"/>
  <c r="V161" i="20"/>
  <c r="L14" i="21" s="1"/>
  <c r="V155" i="20"/>
  <c r="L8" i="21" s="1"/>
  <c r="V159" i="20"/>
  <c r="L12" i="21" s="1"/>
  <c r="V164" i="20"/>
  <c r="L17" i="21" s="1"/>
  <c r="V162" i="20"/>
  <c r="L15" i="21" s="1"/>
  <c r="V163" i="20"/>
  <c r="L16" i="21" s="1"/>
  <c r="V157" i="20"/>
  <c r="L10" i="21" s="1"/>
  <c r="V154" i="20"/>
  <c r="M15" i="20"/>
  <c r="L57" i="20"/>
  <c r="X33" i="20"/>
  <c r="N32" i="21" s="1"/>
  <c r="X28" i="20"/>
  <c r="L21" i="20"/>
  <c r="L22" i="20" s="1"/>
  <c r="X36" i="20"/>
  <c r="N35" i="21" s="1"/>
  <c r="X31" i="20"/>
  <c r="N30" i="21" s="1"/>
  <c r="X41" i="20"/>
  <c r="N40" i="21" s="1"/>
  <c r="X37" i="20"/>
  <c r="N36" i="21" s="1"/>
  <c r="X35" i="20"/>
  <c r="N34" i="21" s="1"/>
  <c r="X29" i="20"/>
  <c r="N28" i="21" s="1"/>
  <c r="X34" i="20"/>
  <c r="N33" i="21" s="1"/>
  <c r="X30" i="20"/>
  <c r="N29" i="21" s="1"/>
  <c r="X39" i="20"/>
  <c r="N38" i="21" s="1"/>
  <c r="X32" i="20"/>
  <c r="N31" i="21" s="1"/>
  <c r="X38" i="20"/>
  <c r="N37" i="21" s="1"/>
  <c r="X40" i="20"/>
  <c r="N39" i="21" s="1"/>
  <c r="K43" i="21"/>
  <c r="M7" i="11"/>
  <c r="N8" i="11"/>
  <c r="N7" i="11" s="1"/>
  <c r="J98" i="37"/>
  <c r="H148" i="20"/>
  <c r="K98" i="37"/>
  <c r="I148" i="20"/>
  <c r="I98" i="37"/>
  <c r="G148" i="20"/>
  <c r="S190" i="20"/>
  <c r="S191" i="20" s="1"/>
  <c r="I108" i="32"/>
  <c r="K93" i="37" s="1"/>
  <c r="U190" i="20"/>
  <c r="U191" i="20" s="1"/>
  <c r="H108" i="32"/>
  <c r="J93" i="37" s="1"/>
  <c r="T190" i="20"/>
  <c r="T191" i="20" s="1"/>
  <c r="G108" i="32"/>
  <c r="I93" i="37" s="1"/>
  <c r="L139" i="20" l="1"/>
  <c r="M139" i="20"/>
  <c r="M145" i="20"/>
  <c r="Y189" i="20"/>
  <c r="N27" i="21"/>
  <c r="X43" i="20"/>
  <c r="X44" i="20" s="1"/>
  <c r="V169" i="20"/>
  <c r="V170" i="20" s="1"/>
  <c r="L7" i="21"/>
  <c r="J141" i="20"/>
  <c r="J147" i="20" s="1"/>
  <c r="V181" i="20"/>
  <c r="V180" i="20"/>
  <c r="V186" i="20"/>
  <c r="V178" i="20"/>
  <c r="V176" i="20"/>
  <c r="V177" i="20"/>
  <c r="V179" i="20"/>
  <c r="V184" i="20"/>
  <c r="V188" i="20"/>
  <c r="V187" i="20"/>
  <c r="V182" i="20"/>
  <c r="V175" i="20"/>
  <c r="V185" i="20"/>
  <c r="V183" i="20"/>
  <c r="J126" i="20"/>
  <c r="J127" i="20" s="1"/>
  <c r="L43" i="21"/>
  <c r="J102" i="32"/>
  <c r="J87" i="32"/>
  <c r="L99" i="20"/>
  <c r="L63" i="20"/>
  <c r="L64" i="20" s="1"/>
  <c r="M57" i="20"/>
  <c r="Y39" i="20"/>
  <c r="O38" i="21" s="1"/>
  <c r="Y28" i="20"/>
  <c r="Y32" i="20"/>
  <c r="O31" i="21" s="1"/>
  <c r="Y41" i="20"/>
  <c r="O40" i="21" s="1"/>
  <c r="Y30" i="20"/>
  <c r="O29" i="21" s="1"/>
  <c r="Y33" i="20"/>
  <c r="O32" i="21" s="1"/>
  <c r="M21" i="20"/>
  <c r="M22" i="20" s="1"/>
  <c r="Y40" i="20"/>
  <c r="O39" i="21" s="1"/>
  <c r="Y29" i="20"/>
  <c r="O28" i="21" s="1"/>
  <c r="Y34" i="20"/>
  <c r="O33" i="21" s="1"/>
  <c r="Y35" i="20"/>
  <c r="O34" i="21" s="1"/>
  <c r="Y37" i="20"/>
  <c r="O36" i="21" s="1"/>
  <c r="Y31" i="20"/>
  <c r="O30" i="21" s="1"/>
  <c r="Y38" i="20"/>
  <c r="O37" i="21" s="1"/>
  <c r="Y36" i="20"/>
  <c r="O35" i="21" s="1"/>
  <c r="K81" i="32"/>
  <c r="K120" i="20"/>
  <c r="M16" i="37"/>
  <c r="W164" i="20"/>
  <c r="M17" i="21" s="1"/>
  <c r="W157" i="20"/>
  <c r="M10" i="21" s="1"/>
  <c r="W155" i="20"/>
  <c r="M8" i="21" s="1"/>
  <c r="W163" i="20"/>
  <c r="M16" i="21" s="1"/>
  <c r="W154" i="20"/>
  <c r="W156" i="20"/>
  <c r="M9" i="21" s="1"/>
  <c r="W166" i="20"/>
  <c r="M19" i="21" s="1"/>
  <c r="W158" i="20"/>
  <c r="M11" i="21" s="1"/>
  <c r="W159" i="20"/>
  <c r="M12" i="21" s="1"/>
  <c r="W165" i="20"/>
  <c r="M18" i="21" s="1"/>
  <c r="W160" i="20"/>
  <c r="M13" i="21" s="1"/>
  <c r="W167" i="20"/>
  <c r="M20" i="21" s="1"/>
  <c r="W161" i="20"/>
  <c r="M14" i="21" s="1"/>
  <c r="W162" i="20"/>
  <c r="M15" i="21" s="1"/>
  <c r="K105" i="20"/>
  <c r="M42" i="21"/>
  <c r="H109" i="32"/>
  <c r="G109" i="32"/>
  <c r="I109" i="32"/>
  <c r="L22" i="21" l="1"/>
  <c r="L23" i="21" s="1"/>
  <c r="L98" i="37"/>
  <c r="K102" i="32"/>
  <c r="K87" i="32"/>
  <c r="M99" i="20"/>
  <c r="M63" i="20"/>
  <c r="M64" i="20" s="1"/>
  <c r="J108" i="32"/>
  <c r="K106" i="20"/>
  <c r="J148" i="20"/>
  <c r="M7" i="21"/>
  <c r="M22" i="21" s="1"/>
  <c r="M23" i="21" s="1"/>
  <c r="W169" i="20"/>
  <c r="W170" i="20" s="1"/>
  <c r="K141" i="20"/>
  <c r="K147" i="20" s="1"/>
  <c r="W180" i="20"/>
  <c r="W184" i="20"/>
  <c r="W175" i="20"/>
  <c r="W187" i="20"/>
  <c r="W188" i="20"/>
  <c r="W181" i="20"/>
  <c r="W186" i="20"/>
  <c r="W179" i="20"/>
  <c r="W182" i="20"/>
  <c r="W176" i="20"/>
  <c r="W178" i="20"/>
  <c r="W177" i="20"/>
  <c r="K126" i="20"/>
  <c r="K127" i="20" s="1"/>
  <c r="W185" i="20"/>
  <c r="W183" i="20"/>
  <c r="M43" i="21"/>
  <c r="Y43" i="20"/>
  <c r="Y44" i="20" s="1"/>
  <c r="O27" i="21"/>
  <c r="L81" i="32"/>
  <c r="L120" i="20"/>
  <c r="N16" i="37"/>
  <c r="X161" i="20"/>
  <c r="N14" i="21" s="1"/>
  <c r="X165" i="20"/>
  <c r="N18" i="21" s="1"/>
  <c r="X163" i="20"/>
  <c r="N16" i="21" s="1"/>
  <c r="X158" i="20"/>
  <c r="N11" i="21" s="1"/>
  <c r="X155" i="20"/>
  <c r="N8" i="21" s="1"/>
  <c r="X156" i="20"/>
  <c r="N9" i="21" s="1"/>
  <c r="X154" i="20"/>
  <c r="X159" i="20"/>
  <c r="N12" i="21" s="1"/>
  <c r="X167" i="20"/>
  <c r="N20" i="21" s="1"/>
  <c r="X164" i="20"/>
  <c r="N17" i="21" s="1"/>
  <c r="X160" i="20"/>
  <c r="N13" i="21" s="1"/>
  <c r="X162" i="20"/>
  <c r="N15" i="21" s="1"/>
  <c r="L105" i="20"/>
  <c r="X157" i="20"/>
  <c r="N10" i="21" s="1"/>
  <c r="X166" i="20"/>
  <c r="N19" i="21" s="1"/>
  <c r="V190" i="20"/>
  <c r="N42" i="21"/>
  <c r="M98" i="37" l="1"/>
  <c r="L93" i="37"/>
  <c r="N7" i="21"/>
  <c r="N22" i="21" s="1"/>
  <c r="N23" i="21" s="1"/>
  <c r="X169" i="20"/>
  <c r="X170" i="20" s="1"/>
  <c r="L141" i="20"/>
  <c r="L147" i="20" s="1"/>
  <c r="X180" i="20"/>
  <c r="X179" i="20"/>
  <c r="X185" i="20"/>
  <c r="L126" i="20"/>
  <c r="L127" i="20" s="1"/>
  <c r="X183" i="20"/>
  <c r="X188" i="20"/>
  <c r="X182" i="20"/>
  <c r="X175" i="20"/>
  <c r="X186" i="20"/>
  <c r="X181" i="20"/>
  <c r="X187" i="20"/>
  <c r="X184" i="20"/>
  <c r="X178" i="20"/>
  <c r="X177" i="20"/>
  <c r="X176" i="20"/>
  <c r="K148" i="20"/>
  <c r="K108" i="32"/>
  <c r="K109" i="32" s="1"/>
  <c r="N43" i="21"/>
  <c r="L102" i="32"/>
  <c r="L87" i="32"/>
  <c r="J109" i="32"/>
  <c r="V191" i="20"/>
  <c r="W190" i="20"/>
  <c r="L106" i="20"/>
  <c r="O42" i="21"/>
  <c r="M81" i="32"/>
  <c r="M120" i="20"/>
  <c r="O16" i="37"/>
  <c r="Y162" i="20"/>
  <c r="O15" i="21" s="1"/>
  <c r="Y167" i="20"/>
  <c r="O20" i="21" s="1"/>
  <c r="Y165" i="20"/>
  <c r="O18" i="21" s="1"/>
  <c r="Y164" i="20"/>
  <c r="O17" i="21" s="1"/>
  <c r="Y155" i="20"/>
  <c r="O8" i="21" s="1"/>
  <c r="Y163" i="20"/>
  <c r="O16" i="21" s="1"/>
  <c r="Y160" i="20"/>
  <c r="O13" i="21" s="1"/>
  <c r="Y154" i="20"/>
  <c r="M105" i="20"/>
  <c r="Y159" i="20"/>
  <c r="O12" i="21" s="1"/>
  <c r="Y161" i="20"/>
  <c r="O14" i="21" s="1"/>
  <c r="Y158" i="20"/>
  <c r="O11" i="21" s="1"/>
  <c r="Y157" i="20"/>
  <c r="O10" i="21" s="1"/>
  <c r="Y166" i="20"/>
  <c r="O19" i="21" s="1"/>
  <c r="Y156" i="20"/>
  <c r="O9" i="21" s="1"/>
  <c r="L148" i="20" l="1"/>
  <c r="N98" i="37"/>
  <c r="M102" i="32"/>
  <c r="M87" i="32"/>
  <c r="M93" i="37"/>
  <c r="X190" i="20"/>
  <c r="M141" i="20"/>
  <c r="M147" i="20" s="1"/>
  <c r="Y178" i="20"/>
  <c r="Y182" i="20"/>
  <c r="Y185" i="20"/>
  <c r="Y184" i="20"/>
  <c r="Y179" i="20"/>
  <c r="Y180" i="20"/>
  <c r="Y188" i="20"/>
  <c r="Y176" i="20"/>
  <c r="Y175" i="20"/>
  <c r="M126" i="20"/>
  <c r="M127" i="20" s="1"/>
  <c r="Y181" i="20"/>
  <c r="Y183" i="20"/>
  <c r="Y186" i="20"/>
  <c r="Y177" i="20"/>
  <c r="Y187" i="20"/>
  <c r="M106" i="20"/>
  <c r="O43" i="21"/>
  <c r="L108" i="32"/>
  <c r="L109" i="32" s="1"/>
  <c r="W191" i="20"/>
  <c r="Y169" i="20"/>
  <c r="Y170" i="20" s="1"/>
  <c r="O7" i="21"/>
  <c r="O22" i="21" s="1"/>
  <c r="O23" i="21" s="1"/>
  <c r="O2" i="21" s="1"/>
  <c r="G15" i="5" s="1"/>
  <c r="O98" i="37" l="1"/>
  <c r="O2" i="37" s="1"/>
  <c r="G16" i="5" s="1"/>
  <c r="M148" i="20"/>
  <c r="Y190" i="20"/>
  <c r="N93" i="37"/>
  <c r="X191" i="20"/>
  <c r="M108" i="32"/>
  <c r="O93" i="37" l="1"/>
  <c r="Y191" i="20"/>
  <c r="M109" i="32"/>
</calcChain>
</file>

<file path=xl/sharedStrings.xml><?xml version="1.0" encoding="utf-8"?>
<sst xmlns="http://schemas.openxmlformats.org/spreadsheetml/2006/main" count="1176" uniqueCount="384">
  <si>
    <t>Comment</t>
  </si>
  <si>
    <t>Style legend</t>
  </si>
  <si>
    <t>Style</t>
  </si>
  <si>
    <t>Design</t>
  </si>
  <si>
    <t>Header1</t>
  </si>
  <si>
    <t>Header2</t>
  </si>
  <si>
    <t>Header3</t>
  </si>
  <si>
    <t>Header4</t>
  </si>
  <si>
    <t>Base_Input</t>
  </si>
  <si>
    <t>A model input that should not be changed to protect the integrity of the model</t>
  </si>
  <si>
    <t>Empty_Cell</t>
  </si>
  <si>
    <t>A cell that is left intentionally blank to avoid the risk of error</t>
  </si>
  <si>
    <t>InSheet_calc</t>
  </si>
  <si>
    <t>A link within the worksheet or an interim calculation step</t>
  </si>
  <si>
    <t xml:space="preserve">OffSheet </t>
  </si>
  <si>
    <t>A link to another worksheet to minimise the number of inter-worksheet references</t>
  </si>
  <si>
    <t>Line_SubTotal</t>
  </si>
  <si>
    <t>The sum of elements in the table immediately above</t>
  </si>
  <si>
    <t>Line_Total</t>
  </si>
  <si>
    <t xml:space="preserve">The sum of elements above, including sub-totals </t>
  </si>
  <si>
    <t>Unit / Info</t>
  </si>
  <si>
    <t>AUD millions</t>
  </si>
  <si>
    <t>Explanatory text showing helpful information or the units/dimensions of the calculations</t>
  </si>
  <si>
    <t>Line_Summary</t>
  </si>
  <si>
    <t>The SUM() of everything in the row</t>
  </si>
  <si>
    <t>Table_Header</t>
  </si>
  <si>
    <t>Qtr</t>
  </si>
  <si>
    <t xml:space="preserve">Header of a table or of an off-sheet reference </t>
  </si>
  <si>
    <t>Flag</t>
  </si>
  <si>
    <t>Binary flag - set up as a 'Style' and updated with conditional formatting</t>
  </si>
  <si>
    <t>Check_Cell</t>
  </si>
  <si>
    <t>Check figures add up to the correct amount</t>
  </si>
  <si>
    <t>CONNECTION SUBCATEGORY</t>
  </si>
  <si>
    <t>CONNECTION CLASSIFICATION</t>
  </si>
  <si>
    <t>COMMERCIAL/INDUSTRIAL</t>
  </si>
  <si>
    <t>Function Code</t>
  </si>
  <si>
    <t>Total</t>
  </si>
  <si>
    <t>Control</t>
  </si>
  <si>
    <t>Legend</t>
  </si>
  <si>
    <t>Menu</t>
  </si>
  <si>
    <t>User Inputs</t>
  </si>
  <si>
    <t>Base Inputs</t>
  </si>
  <si>
    <t>Calculations</t>
  </si>
  <si>
    <t>Outputs/Export</t>
  </si>
  <si>
    <t>RESIDENTIAL</t>
  </si>
  <si>
    <t>SIMPLE CONNECTION LV ($000'S)</t>
  </si>
  <si>
    <t>R1</t>
  </si>
  <si>
    <t>COMPLEX CONNECTION LV ($000'S)</t>
  </si>
  <si>
    <t>R2</t>
  </si>
  <si>
    <t>COMPLEX CONNECTION HV ($000'S)</t>
  </si>
  <si>
    <t>R3</t>
  </si>
  <si>
    <t>CI1</t>
  </si>
  <si>
    <t>COMPLEX CONNECTION HV (CUSTOMER CONNECTED AT LV, MINOR HV WORKS) ($000'S)</t>
  </si>
  <si>
    <t>CI2</t>
  </si>
  <si>
    <t>COMPLEX CONNECTION HV (CUSTOMER CONNECTED AT LV, UPSTREAM ASSET WORKS) ($000'S)</t>
  </si>
  <si>
    <t>CI3</t>
  </si>
  <si>
    <t>COMPLEX CONNECTION HV (CUSTOMER CONNECTED AT HV) ($000'S)</t>
  </si>
  <si>
    <t>CI4</t>
  </si>
  <si>
    <t>COMPLEX CONNECTION SUB-TRANSMISSION ($000'S)</t>
  </si>
  <si>
    <t>CI5</t>
  </si>
  <si>
    <t>SUBDIVISION</t>
  </si>
  <si>
    <t>S1</t>
  </si>
  <si>
    <t>COMPLEX CONNECTION HV (NO UPSTREAM ASSET WORKS) ($000'S)</t>
  </si>
  <si>
    <t>S2</t>
  </si>
  <si>
    <t>COMPLEX CONNECTION HV (WITH UPSTREAM ASSET WORKS) ($000'S)</t>
  </si>
  <si>
    <t>S3</t>
  </si>
  <si>
    <t>EMBEDDED GENERATION</t>
  </si>
  <si>
    <t>EG1</t>
  </si>
  <si>
    <t>COMPLEX CONNECTION HV (SMALL CAPACITY) ($000'S)</t>
  </si>
  <si>
    <t>EG2</t>
  </si>
  <si>
    <t>COMPLEX CONNECTION HV (LARGE CAPACITY) ($000'S)</t>
  </si>
  <si>
    <t>EG3</t>
  </si>
  <si>
    <t>Allocation of RIN categories expenditure to FC</t>
  </si>
  <si>
    <t>Function Code Titles</t>
  </si>
  <si>
    <t>Capex</t>
  </si>
  <si>
    <t>Description</t>
  </si>
  <si>
    <t>High Voltage Connections</t>
  </si>
  <si>
    <t>Low Density Subdivisions</t>
  </si>
  <si>
    <t>New Connections - Miscellaneous Materials</t>
  </si>
  <si>
    <t>New Connections - Miscellaneous Labour</t>
  </si>
  <si>
    <t>Co-Generation Connections</t>
  </si>
  <si>
    <t>CODE</t>
  </si>
  <si>
    <t>Sheet Check</t>
  </si>
  <si>
    <t>Rural Projects &lt; 50KVA</t>
  </si>
  <si>
    <t>Urban Projects &lt; 50KVA</t>
  </si>
  <si>
    <t>Medium Density SubDivision</t>
  </si>
  <si>
    <t>Business Supply &gt; 50KVA &lt; 200KVA</t>
  </si>
  <si>
    <t>Business Supply &gt; 200KVA</t>
  </si>
  <si>
    <t>HV Connections</t>
  </si>
  <si>
    <t>Business SubDivisions</t>
  </si>
  <si>
    <t>U/G Service Pits Ex O/H Supply</t>
  </si>
  <si>
    <t>Low Density SubDivisions</t>
  </si>
  <si>
    <t>High Density Residential/Business</t>
  </si>
  <si>
    <t>New Connection Meter Acc.</t>
  </si>
  <si>
    <t>New Connection Meter IMRO</t>
  </si>
  <si>
    <t>New Conn. Service/Materials</t>
  </si>
  <si>
    <t>New Conn. Servicing Labour</t>
  </si>
  <si>
    <t>Recoverable Works</t>
  </si>
  <si>
    <t>CO Generation Projects</t>
  </si>
  <si>
    <t>Energy Efficient Public Lighting - New</t>
  </si>
  <si>
    <t>Public Lighting - New</t>
  </si>
  <si>
    <t>Docklands</t>
  </si>
  <si>
    <t>Major Generation Projects</t>
  </si>
  <si>
    <t>New Conn. Meter Install Acc.</t>
  </si>
  <si>
    <t>New Conn. Meter Install MRIM</t>
  </si>
  <si>
    <t>New Conn. Meter AMI</t>
  </si>
  <si>
    <t>New Conn. Meter Install AMI</t>
  </si>
  <si>
    <t>ACS services</t>
  </si>
  <si>
    <t>Consolidated line maintenance</t>
  </si>
  <si>
    <t>Replacement accumulation meter</t>
  </si>
  <si>
    <t>Replacement MRIM meter</t>
  </si>
  <si>
    <t>Replacement AMI meter &amp; transformers</t>
  </si>
  <si>
    <t>Rollout AMI meter</t>
  </si>
  <si>
    <t>Rollout AMI meter install</t>
  </si>
  <si>
    <t>Replacement Meter Install AMI</t>
  </si>
  <si>
    <t>Replacement Meter &amp; Install IMRO</t>
  </si>
  <si>
    <t>Maintenance Related Fault Capital</t>
  </si>
  <si>
    <t>Public Lighting - Replacement</t>
  </si>
  <si>
    <t>Fault Related Capital</t>
  </si>
  <si>
    <t xml:space="preserve">Conductor Clearance </t>
  </si>
  <si>
    <t xml:space="preserve">HV Switch Replacement </t>
  </si>
  <si>
    <t>Transformer Replacement</t>
  </si>
  <si>
    <t>HV Fuse Unit &amp; Surge Divert. Repl.</t>
  </si>
  <si>
    <t>Recoverable Works - Asset Damage</t>
  </si>
  <si>
    <t>Pole Life Extension - Treatment</t>
  </si>
  <si>
    <t>Pole Replacement</t>
  </si>
  <si>
    <t>Pole Life Extension - Staking</t>
  </si>
  <si>
    <t>OH/UG Line Replacement</t>
  </si>
  <si>
    <t>Replacements Meter &amp; Install Acc</t>
  </si>
  <si>
    <t>Neutral Screen Services</t>
  </si>
  <si>
    <t>Servicing Replacement</t>
  </si>
  <si>
    <t>Bird Cover Replacement</t>
  </si>
  <si>
    <t>Cross-arm Replacement</t>
  </si>
  <si>
    <t>ZSS - Major Plant Replacement</t>
  </si>
  <si>
    <t>Zone SubStation Plant Replacement</t>
  </si>
  <si>
    <t xml:space="preserve">Safety Compliance </t>
  </si>
  <si>
    <t>TV Interference Replacement Capital</t>
  </si>
  <si>
    <t>Augmentation Lines</t>
  </si>
  <si>
    <t>Augmentation of Zone SubStation</t>
  </si>
  <si>
    <t>Network Development - Augment Dist.</t>
  </si>
  <si>
    <t>Environment Management'</t>
  </si>
  <si>
    <t>Bushfire Mitigation Augmentation</t>
  </si>
  <si>
    <t>LV Com. Multi Earth (CMEN)</t>
  </si>
  <si>
    <t>Reliability Improvement - Automation</t>
  </si>
  <si>
    <t>VBRC</t>
  </si>
  <si>
    <t>Zone SubStation Automation</t>
  </si>
  <si>
    <t>Augmentation Connection Assets</t>
  </si>
  <si>
    <t>SWER Augmentation</t>
  </si>
  <si>
    <t>Supply Reliability Improvement Scheme</t>
  </si>
  <si>
    <t>Pole Fire Mitigation</t>
  </si>
  <si>
    <t>Metering Communications</t>
  </si>
  <si>
    <t>Communications installation</t>
  </si>
  <si>
    <t>CBD Security Supply</t>
  </si>
  <si>
    <t>Computers</t>
  </si>
  <si>
    <t>IT Metering Data Services</t>
  </si>
  <si>
    <t>General Equipment</t>
  </si>
  <si>
    <t>General Equipment-AMI</t>
  </si>
  <si>
    <t>Office Furniture</t>
  </si>
  <si>
    <t>Office Furniture-AMI</t>
  </si>
  <si>
    <t>Property</t>
  </si>
  <si>
    <t>Property-AMI</t>
  </si>
  <si>
    <t>Motor Vehicles</t>
  </si>
  <si>
    <t>Motor Vehicles-AMI</t>
  </si>
  <si>
    <t>Intellectual Property</t>
  </si>
  <si>
    <t>Communications</t>
  </si>
  <si>
    <t>Testing &amp; Laboratory</t>
  </si>
  <si>
    <t>$'000 nom</t>
  </si>
  <si>
    <t>Actual</t>
  </si>
  <si>
    <t>Forecast</t>
  </si>
  <si>
    <t>Inflation</t>
  </si>
  <si>
    <t>Major Projects</t>
  </si>
  <si>
    <t>Base Year</t>
  </si>
  <si>
    <t>Year</t>
  </si>
  <si>
    <t>Growth Rate</t>
  </si>
  <si>
    <t>$ Nominal</t>
  </si>
  <si>
    <t>Function Code Mapping</t>
  </si>
  <si>
    <t>Growth Indices by Industry Type</t>
  </si>
  <si>
    <t>COMMERCIAL / INDUSTRIAL</t>
  </si>
  <si>
    <t>Based on Function Code Mapping</t>
  </si>
  <si>
    <t>Totals</t>
  </si>
  <si>
    <t>Header 1A</t>
  </si>
  <si>
    <t>User_Input_Actual</t>
  </si>
  <si>
    <t>A user driven input for actual figures</t>
  </si>
  <si>
    <t>User_Input_Forecast</t>
  </si>
  <si>
    <t>A user driven input for forcast figures</t>
  </si>
  <si>
    <t>LV Supplies to 63kVA</t>
  </si>
  <si>
    <t>Medium Density Subdivisions</t>
  </si>
  <si>
    <t>LV Supplies &gt; 63kVA up to 200kVA</t>
  </si>
  <si>
    <t>LV Supplies &gt; 200kVA up to 500kVA</t>
  </si>
  <si>
    <t>Business Subdivisions</t>
  </si>
  <si>
    <t>Underground Service Pits</t>
  </si>
  <si>
    <t>LV Supplies &gt; 500kVA</t>
  </si>
  <si>
    <t>0's</t>
  </si>
  <si>
    <t>Historical/Forecast Gifted Assets by Function Code</t>
  </si>
  <si>
    <t>Historical/Forecast Rebates by Function Code</t>
  </si>
  <si>
    <t>%</t>
  </si>
  <si>
    <t>Historical Expenditure by Function Code</t>
  </si>
  <si>
    <t>Unit Rates</t>
  </si>
  <si>
    <t>Historical Volumes by Function Code</t>
  </si>
  <si>
    <t>SIMPLE CONNECTION LV</t>
  </si>
  <si>
    <t>COMPLEX CONNECTION LV</t>
  </si>
  <si>
    <t>COMPLEX CONNECTION HV</t>
  </si>
  <si>
    <t>COMPLEX CONNECTION HV (CUSTOMER CONNECTED AT LV, MINOR HV WORKS)</t>
  </si>
  <si>
    <t>COMPLEX CONNECTION HV (CUSTOMER CONNECTED AT LV, UPSTREAM ASSET WORKS)</t>
  </si>
  <si>
    <t>COMPLEX CONNECTION HV (CUSTOMER CONNECTED AT HV)</t>
  </si>
  <si>
    <t>COMPLEX CONNECTION SUB-TRANSMISSION</t>
  </si>
  <si>
    <t>COMPLEX CONNECTION HV (NO UPSTREAM ASSET WORKS)</t>
  </si>
  <si>
    <t>COMPLEX CONNECTION HV (WITH UPSTREAM ASSET WORKS)</t>
  </si>
  <si>
    <t>COMPLEX CONNECTION HV (SMALL CAPACITY)</t>
  </si>
  <si>
    <t>COMPLEX CONNECTION HV (LARGE CAPACITY)</t>
  </si>
  <si>
    <t xml:space="preserve">COMPLEX CONNECTION HV (NO UPSTREAM ASSET WORKS) </t>
  </si>
  <si>
    <t xml:space="preserve">SIMPLE CONNECTION LV </t>
  </si>
  <si>
    <t xml:space="preserve">COMPLEX CONNECTION HV (SMALL CAPACITY) </t>
  </si>
  <si>
    <t xml:space="preserve">COMPLEX CONNECTION HV (LARGE CAPACITY) </t>
  </si>
  <si>
    <t xml:space="preserve">Volumes </t>
  </si>
  <si>
    <t>Growth Rates</t>
  </si>
  <si>
    <t>AER Code</t>
  </si>
  <si>
    <t>Averaging Flag</t>
  </si>
  <si>
    <t>Customer Contributions</t>
  </si>
  <si>
    <t>Historical/Forecast Cash Contribution Ratios by Function Code</t>
  </si>
  <si>
    <t>Historical Gifted Assets by Function Code</t>
  </si>
  <si>
    <t>Historical Rebates by Function Code</t>
  </si>
  <si>
    <t>Historical Contribution Ratios by Function Code</t>
  </si>
  <si>
    <t>Historical Cash Contributions by Function Code</t>
  </si>
  <si>
    <t>Historical Contributions by Function Code</t>
  </si>
  <si>
    <t>Contributions = Cash Contributions - rebates + gifted assets</t>
  </si>
  <si>
    <t>Historical Contributions</t>
  </si>
  <si>
    <t>Historical/Forecast Cash Contributions by Function Code</t>
  </si>
  <si>
    <t>All</t>
  </si>
  <si>
    <t>Average Unit Rates by Function Code</t>
  </si>
  <si>
    <t>RIN Total</t>
  </si>
  <si>
    <t>Check</t>
  </si>
  <si>
    <t>Source:Australian Construction Industry Forecast report</t>
  </si>
  <si>
    <t>Growth Indices by Industry Type applied to Function Codes</t>
  </si>
  <si>
    <t>Type</t>
  </si>
  <si>
    <t>Sector</t>
  </si>
  <si>
    <t>Region</t>
  </si>
  <si>
    <t>Residential</t>
  </si>
  <si>
    <t>New Houses</t>
  </si>
  <si>
    <t>Melbourne</t>
  </si>
  <si>
    <t>New Other Residential</t>
  </si>
  <si>
    <t>Alterations and Additions (large)</t>
  </si>
  <si>
    <t>Other (mainly small alterations and additions)</t>
  </si>
  <si>
    <t>Non-residential</t>
  </si>
  <si>
    <t>Retail/Wholesale trade</t>
  </si>
  <si>
    <t>Offices</t>
  </si>
  <si>
    <t>Other commercial</t>
  </si>
  <si>
    <t>Industrial</t>
  </si>
  <si>
    <t>Health and aged care</t>
  </si>
  <si>
    <t>Entertainment and recreation</t>
  </si>
  <si>
    <t>Accommodation</t>
  </si>
  <si>
    <t>Miscellaneous</t>
  </si>
  <si>
    <t>rest of VIC</t>
  </si>
  <si>
    <t>Engineering</t>
  </si>
  <si>
    <t>Roads</t>
  </si>
  <si>
    <t>VIC</t>
  </si>
  <si>
    <t>Bridges, railways, harbours</t>
  </si>
  <si>
    <t>Electricity, pipelines</t>
  </si>
  <si>
    <t>Water and sewerage</t>
  </si>
  <si>
    <t>Telecommunications</t>
  </si>
  <si>
    <t>Heavy industry incl. mining</t>
  </si>
  <si>
    <t>Recreation and other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</si>
  <si>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</si>
  <si>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</si>
  <si>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</si>
  <si>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</si>
  <si>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</si>
  <si>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</si>
  <si>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</si>
  <si>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</si>
  <si>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</si>
  <si>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</si>
  <si>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Direct Capex by Function Code (incl Gifted Assets)</t>
  </si>
  <si>
    <t>Type / Sector / Region</t>
  </si>
  <si>
    <t>Expenditure (excl Gifted Assets)</t>
  </si>
  <si>
    <t>Bottom Up Build Flag</t>
  </si>
  <si>
    <t>Forecast Expenditure by Function Code (Bottom Up Build)</t>
  </si>
  <si>
    <t>Notes</t>
  </si>
  <si>
    <t>Macro_Paste</t>
  </si>
  <si>
    <t>A value produced by a macro</t>
  </si>
  <si>
    <t>Based on above CC Ratios</t>
  </si>
  <si>
    <t>Assumptions</t>
  </si>
  <si>
    <t>Source: Major Projects</t>
  </si>
  <si>
    <t>Source: Summation of High Volume and Bottom Up Build</t>
  </si>
  <si>
    <t>Uses the current year industry figure divided by the previous year industry figure.</t>
  </si>
  <si>
    <t>LV supplies to 63kVA</t>
  </si>
  <si>
    <t>Medium Density Developments</t>
  </si>
  <si>
    <t>LV supplies &gt;63kVA to 200kVA</t>
  </si>
  <si>
    <t>LV supplies &gt;200kVA to 500kVA</t>
  </si>
  <si>
    <t>HV connection</t>
  </si>
  <si>
    <t>Business subdivisions</t>
  </si>
  <si>
    <t>Underground service pits</t>
  </si>
  <si>
    <t>Rural subdivisions</t>
  </si>
  <si>
    <t>LV supplies &gt;500kVA</t>
  </si>
  <si>
    <t xml:space="preserve">Co-generation projects </t>
  </si>
  <si>
    <t>Historical Volumes by AER Category (CAT RIN Table 2.5.2)</t>
  </si>
  <si>
    <t>New Other Residential/Offices/Other Commercial/Miscellaneous-Melbourne</t>
  </si>
  <si>
    <t>No longer in use</t>
  </si>
  <si>
    <t>Alterations and Additions (large)/Other commercial/Miscellaneous - Melbourne</t>
  </si>
  <si>
    <t>Alterations and Additions (large)/Retail/Wholesale trade/Offices/Other Commercial/Health and aged care - Melbourne</t>
  </si>
  <si>
    <t>Docklands Supply projects</t>
  </si>
  <si>
    <t>Historical Expenditure by AER Category (CAT RIN Table 4.4.1 Quoted Services)</t>
  </si>
  <si>
    <t>SERVICE</t>
  </si>
  <si>
    <t>SERVICE SUBCATEGORY</t>
  </si>
  <si>
    <t xml:space="preserve">Quoted Services </t>
  </si>
  <si>
    <t>Recoverable Works - Connections</t>
  </si>
  <si>
    <t>Historical Volumes by AER Category (CAT RIN Table 4.4.1 Quoted Services)</t>
  </si>
  <si>
    <t>End of Sheet</t>
  </si>
  <si>
    <t>Expenditure &amp; Volume Output</t>
  </si>
  <si>
    <t>No Rebates forecast for CitiPower.</t>
  </si>
  <si>
    <t>Historical/Forecast Net Contributions by Function Code</t>
  </si>
  <si>
    <t>2025-26</t>
  </si>
  <si>
    <t>2019/20</t>
  </si>
  <si>
    <t>2020/21</t>
  </si>
  <si>
    <t>2021/22</t>
  </si>
  <si>
    <t>2022/23</t>
  </si>
  <si>
    <t>2023/24</t>
  </si>
  <si>
    <t>2024/25</t>
  </si>
  <si>
    <t>2025/26</t>
  </si>
  <si>
    <t>$'000 2021</t>
  </si>
  <si>
    <t>ACIF Growth Figures</t>
  </si>
  <si>
    <t>Historical Expenditure-Volumes</t>
  </si>
  <si>
    <t>Source: Growth Rates</t>
  </si>
  <si>
    <t>Source: Forecast Volumes x Unit Rate</t>
  </si>
  <si>
    <t>Forecast Expenditure-Volumes</t>
  </si>
  <si>
    <t>2015/16</t>
  </si>
  <si>
    <t>2016/17</t>
  </si>
  <si>
    <t>2017/18</t>
  </si>
  <si>
    <t>2018/19</t>
  </si>
  <si>
    <t>Historical Expenditure by AER Category (RIN Table 2.5.2 Connections)</t>
  </si>
  <si>
    <t>*</t>
  </si>
  <si>
    <t>*Function code 109 average based on 2016-2018 only due to a change in methodology to bring Pits in house.</t>
  </si>
  <si>
    <t>Average 2015/16 - 2018/19</t>
  </si>
  <si>
    <t>*FC109 average based on 16/17 due to change in methodology to bring Pits in house.</t>
  </si>
  <si>
    <t>2015/16-2018/19 Average</t>
  </si>
  <si>
    <t>Quoted Services</t>
  </si>
  <si>
    <t>Forecast Volumes - Growth Rate by Function Code</t>
  </si>
  <si>
    <t>Forecast Volumes - Growth Rate by AER Category</t>
  </si>
  <si>
    <t>$Nominal</t>
  </si>
  <si>
    <t>ACIF Rates</t>
  </si>
  <si>
    <t>$ 2021</t>
  </si>
  <si>
    <t>For 2019 onwards, the 2016/17-2018/19 average contribution ratio applied for all function codes except 118 which is fully funded.</t>
  </si>
  <si>
    <t>Direct Capex</t>
  </si>
  <si>
    <t>Major Projects &lt; $2.5m</t>
  </si>
  <si>
    <t>Inflation Rates and Conversion factor to June 2021</t>
  </si>
  <si>
    <t>Historical expenditure excludes gifted assets</t>
  </si>
  <si>
    <t>Financial year</t>
  </si>
  <si>
    <t>Gifted Assets</t>
  </si>
  <si>
    <t>$2019/20</t>
  </si>
  <si>
    <t>Connections COVID-19 ratio</t>
  </si>
  <si>
    <t>AER adjustment</t>
  </si>
  <si>
    <t>Inflation (RFM lagged)</t>
  </si>
  <si>
    <t>AER draft decision</t>
  </si>
  <si>
    <t>RRP change</t>
  </si>
  <si>
    <t>AER adjustments</t>
  </si>
  <si>
    <t>AER Draft decision</t>
  </si>
  <si>
    <t>Forecast Contributions -AER</t>
  </si>
  <si>
    <t>Forecast Contributions</t>
  </si>
  <si>
    <t>IMPACT OF PRICE REDUCTION AND WACC ON AVERAGE CUSTOMER CONTRIBUTION RATE</t>
  </si>
  <si>
    <t>CHANGE IN CONTRIBUTION RATE</t>
  </si>
  <si>
    <t>CitiPower</t>
  </si>
  <si>
    <t>2016-20</t>
  </si>
  <si>
    <t>2021-26</t>
  </si>
  <si>
    <t>Proportion residential connnection demand</t>
  </si>
  <si>
    <t>Based on 2016-19 CAT RINs</t>
  </si>
  <si>
    <t>ICSN as a proportion of ICCS</t>
  </si>
  <si>
    <t>Estimate based on recent history</t>
  </si>
  <si>
    <t>Average contribution rate</t>
  </si>
  <si>
    <t>2016/17-2018/19 average contribution rate excl gifted assets, generators and recoverable works</t>
  </si>
  <si>
    <t>Real pre-tax WACC</t>
  </si>
  <si>
    <t>Real pre-tax WACC based on draft decision PTRM with 1.95% inflation forecast and X factors of 0% pa</t>
  </si>
  <si>
    <t>1 July 2021 price reduction (Po)</t>
  </si>
  <si>
    <t>Po based on draft decision PTRM with 1.95% inflation forecast and X factors of 0% pa</t>
  </si>
  <si>
    <t>Impact based on $1,000 of ICCS</t>
  </si>
  <si>
    <t>Incremental Cost Customer Specific (ICCS)</t>
  </si>
  <si>
    <t>Incremental Cost Shared Network (ICSN)</t>
  </si>
  <si>
    <t>Incremental Revenue (IR)</t>
  </si>
  <si>
    <t>Customer Contribution (CC)</t>
  </si>
  <si>
    <t>Impact of Po and WACC on $1 pa of 2020 incremental revenue</t>
  </si>
  <si>
    <t>NPV residential (30 years)</t>
  </si>
  <si>
    <t>NPV business (15 years)</t>
  </si>
  <si>
    <t>Weighted average incremental revenue</t>
  </si>
  <si>
    <t>Change in incremental revenue</t>
  </si>
  <si>
    <t>CitiPower - 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</si>
</sst>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-* #,##0.00_-;\-* #,##0.00_-;_-* &quot;-&quot;??_-;_-@_-"/>
    <numFmt numFmtId="164" formatCode="&quot;$&quot;#,##0_);[Red]\(&quot;$&quot;#,##0\)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_-* #,##0_-;* \(#,##0\)_-;_-* &quot;-&quot;??_-;_-@_-"/>
    <numFmt numFmtId="169" formatCode="_(* #,##0.00%_);_(* \(#,##0.00%\);_(* &quot;-&quot;??_);_(@_)"/>
    <numFmt numFmtId="170" formatCode="_(* #,##0.00\x_);_(* \(#,##0.00\x\);_(* &quot;-&quot;??_);_(@_)"/>
    <numFmt numFmtId="171" formatCode="#,##0_);\(#,##0\);\-\-_)"/>
    <numFmt numFmtId="172" formatCode="_(* #,##0%_);_(* \(#,##0%\);_(* &quot;-&quot;??_);_(@_)"/>
    <numFmt numFmtId="173" formatCode="_-* #,##0_-;\-* #,##0_-;_-* &quot;-&quot;??_-;_-@_-"/>
    <numFmt numFmtId="174" formatCode="_(* #,##0.0%_);_(* \(#,##0.0%\);_(* &quot;-&quot;??_);_(@_)"/>
    <numFmt numFmtId="175" formatCode="_(* #,##0.000000_);_(* \(#,##0.000000\);_(* &quot;-&quot;??_);_(@_)"/>
    <numFmt numFmtId="176" formatCode="_(* #,##0.000_);_(* \(#,##0.000\);_(* &quot;-&quot;??_);_(@_)"/>
    <numFmt numFmtId="177" formatCode="_(* #,##0.0000_);_(* \(#,##0.0000\);_(* &quot;-&quot;??_);_(@_)"/>
    <numFmt numFmtId="178" formatCode="_(* #,##0.0000000_);_(* \(#,##0.0000000\);_(* &quot;-&quot;??_);_(@_)"/>
    <numFmt numFmtId="179" formatCode="0.000"/>
    <numFmt numFmtId="180" formatCode="_-* #,##0.00000000_-;\-* #,##0.00000000_-;_-* &quot;-&quot;??_-;_-@_-"/>
    <numFmt numFmtId="181" formatCode="_(* #,##0.00000000_);_(* \(#,##0.00000000\);_(* &quot;-&quot;??_);_(@_)"/>
    <numFmt numFmtId="182" formatCode="_-* #,##0.0_-;\-* #,##0.0_-;_-* &quot;-&quot;??_-;_-@_-"/>
    <numFmt numFmtId="183" formatCode="[$-409]mmm\-yy;&quot;nm&quot;;&quot;nm&quot;"/>
    <numFmt numFmtId="185" formatCode="&quot;$&quot;#,##0"/>
  </numFmts>
  <fonts count="4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3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0"/>
      <name val="Arial"/>
      <family val="2"/>
    </font>
    <font>
      <sz val="10"/>
      <color rgb="FF9E100A"/>
      <name val="Arial"/>
      <family val="2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b/>
      <sz val="18"/>
      <color rgb="FFED1C24"/>
      <name val="Arial"/>
      <family val="2"/>
    </font>
    <font>
      <b/>
      <sz val="14"/>
      <color indexed="9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i/>
      <sz val="11"/>
      <color rgb="FF586577"/>
      <name val="Arial"/>
      <family val="2"/>
    </font>
    <font>
      <sz val="11"/>
      <color rgb="FF586577"/>
      <name val="Arial"/>
      <family val="2"/>
    </font>
    <font>
      <i/>
      <sz val="10"/>
      <color theme="0" tint="-0.499984740745262"/>
      <name val="Arial"/>
      <family val="2"/>
    </font>
    <font>
      <sz val="11"/>
      <color theme="0" tint="-0.34998626667073579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12"/>
      <color indexed="9"/>
      <name val="Arial"/>
      <family val="2"/>
    </font>
    <font>
      <u/>
      <sz val="10"/>
      <color theme="10"/>
      <name val="Verdana"/>
      <family val="2"/>
    </font>
    <font>
      <sz val="12"/>
      <color theme="10"/>
      <name val="Verdana"/>
      <family val="2"/>
    </font>
    <font>
      <sz val="10"/>
      <color rgb="FF00B050"/>
      <name val="Arial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color indexed="63"/>
      <name val="Arial"/>
      <family val="2"/>
    </font>
    <font>
      <sz val="10"/>
      <color theme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Gray">
        <fgColor theme="0" tint="-0.34998626667073579"/>
        <bgColor indexed="65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rgb="FFFEDAD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DAA6D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1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</fills>
  <borders count="3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E100A"/>
      </left>
      <right style="thin">
        <color rgb="FF9E100A"/>
      </right>
      <top style="thin">
        <color rgb="FF9E100A"/>
      </top>
      <bottom style="thin">
        <color rgb="FF9E100A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16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3" borderId="2" applyNumberFormat="0" applyFont="0" applyAlignment="0"/>
    <xf numFmtId="168" fontId="9" fillId="4" borderId="2" applyAlignment="0"/>
    <xf numFmtId="0" fontId="10" fillId="0" borderId="0" applyNumberFormat="0" applyBorder="0"/>
    <xf numFmtId="0" fontId="11" fillId="0" borderId="0" applyNumberFormat="0"/>
    <xf numFmtId="0" fontId="12" fillId="0" borderId="3" applyNumberFormat="0" applyAlignment="0"/>
    <xf numFmtId="0" fontId="13" fillId="5" borderId="4" applyNumberFormat="0" applyAlignment="0"/>
    <xf numFmtId="0" fontId="8" fillId="0" borderId="5" applyNumberFormat="0" applyFont="0" applyFill="0" applyAlignment="0"/>
    <xf numFmtId="0" fontId="8" fillId="0" borderId="6" applyNumberFormat="0" applyFont="0" applyFill="0" applyAlignment="0"/>
    <xf numFmtId="0" fontId="12" fillId="6" borderId="3" applyNumberFormat="0" applyAlignment="0"/>
    <xf numFmtId="0" fontId="8" fillId="0" borderId="7" applyNumberFormat="0" applyFont="0" applyFill="0" applyAlignment="0"/>
    <xf numFmtId="0" fontId="12" fillId="7" borderId="1" applyNumberFormat="0" applyAlignment="0"/>
    <xf numFmtId="0" fontId="7" fillId="8" borderId="3" applyNumberFormat="0" applyProtection="0"/>
    <xf numFmtId="0" fontId="15" fillId="9" borderId="8" applyNumberFormat="0" applyAlignment="0"/>
    <xf numFmtId="170" fontId="12" fillId="0" borderId="0" applyFont="0" applyFill="0" applyBorder="0" applyAlignment="0" applyProtection="0"/>
    <xf numFmtId="0" fontId="16" fillId="10" borderId="3" applyNumberFormat="0">
      <alignment horizontal="centerContinuous" vertical="center" wrapText="1"/>
    </xf>
    <xf numFmtId="0" fontId="25" fillId="0" borderId="0" applyNumberFormat="0"/>
    <xf numFmtId="0" fontId="14" fillId="0" borderId="0"/>
    <xf numFmtId="0" fontId="12" fillId="0" borderId="0"/>
    <xf numFmtId="167" fontId="8" fillId="0" borderId="0" applyFont="0" applyFill="0" applyBorder="0" applyAlignment="0" applyProtection="0"/>
    <xf numFmtId="171" fontId="19" fillId="19" borderId="0"/>
    <xf numFmtId="0" fontId="6" fillId="0" borderId="0"/>
    <xf numFmtId="171" fontId="29" fillId="19" borderId="0"/>
    <xf numFmtId="0" fontId="30" fillId="0" borderId="0" applyNumberFormat="0" applyFill="0" applyBorder="0" applyAlignment="0" applyProtection="0"/>
    <xf numFmtId="0" fontId="17" fillId="9" borderId="9" applyNumberFormat="0" applyAlignment="0"/>
    <xf numFmtId="0" fontId="21" fillId="0" borderId="0"/>
    <xf numFmtId="0" fontId="7" fillId="2" borderId="1" applyNumberFormat="0" applyAlignment="0">
      <alignment horizontal="right"/>
      <protection locked="0"/>
    </xf>
    <xf numFmtId="0" fontId="7" fillId="18" borderId="1" applyNumberFormat="0" applyAlignment="0">
      <alignment horizontal="right"/>
      <protection locked="0"/>
    </xf>
    <xf numFmtId="0" fontId="4" fillId="0" borderId="0"/>
    <xf numFmtId="0" fontId="17" fillId="9" borderId="9" applyNumberFormat="0" applyAlignment="0"/>
    <xf numFmtId="0" fontId="3" fillId="0" borderId="0"/>
    <xf numFmtId="165" fontId="7" fillId="2" borderId="1" applyAlignment="0">
      <alignment horizontal="right"/>
      <protection locked="0"/>
    </xf>
    <xf numFmtId="0" fontId="3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71" fontId="12" fillId="0" borderId="0" applyFill="0" applyBorder="0">
      <alignment vertical="center"/>
    </xf>
    <xf numFmtId="183" fontId="12" fillId="0" borderId="0" applyFill="0" applyBorder="0">
      <alignment vertical="center"/>
    </xf>
    <xf numFmtId="4" fontId="36" fillId="21" borderId="24" applyNumberFormat="0" applyProtection="0">
      <alignment horizontal="left" vertical="center" indent="1"/>
    </xf>
    <xf numFmtId="4" fontId="36" fillId="0" borderId="24" applyNumberFormat="0" applyProtection="0">
      <alignment horizontal="right" vertical="center"/>
    </xf>
    <xf numFmtId="4" fontId="36" fillId="20" borderId="24" applyNumberFormat="0" applyProtection="0">
      <alignment horizontal="left" vertical="center" indent="1"/>
    </xf>
    <xf numFmtId="4" fontId="36" fillId="22" borderId="24" applyNumberFormat="0" applyProtection="0">
      <alignment vertical="center"/>
    </xf>
    <xf numFmtId="4" fontId="36" fillId="21" borderId="24" applyNumberFormat="0" applyProtection="0">
      <alignment horizontal="left" vertical="center" indent="1"/>
    </xf>
    <xf numFmtId="4" fontId="36" fillId="0" borderId="24" applyNumberFormat="0" applyProtection="0">
      <alignment horizontal="right" vertical="center"/>
    </xf>
    <xf numFmtId="4" fontId="36" fillId="20" borderId="24" applyNumberFormat="0" applyProtection="0">
      <alignment horizontal="left" vertical="center" indent="1"/>
    </xf>
    <xf numFmtId="4" fontId="36" fillId="22" borderId="24" applyNumberFormat="0" applyProtection="0">
      <alignment vertical="center"/>
    </xf>
    <xf numFmtId="0" fontId="37" fillId="23" borderId="0" applyNumberFormat="0">
      <alignment vertical="center"/>
    </xf>
    <xf numFmtId="4" fontId="36" fillId="0" borderId="24" applyNumberFormat="0" applyProtection="0">
      <alignment horizontal="right" vertical="center"/>
    </xf>
    <xf numFmtId="4" fontId="36" fillId="21" borderId="24" applyNumberFormat="0" applyProtection="0">
      <alignment horizontal="left" vertical="center" indent="1"/>
    </xf>
    <xf numFmtId="4" fontId="36" fillId="21" borderId="24" applyNumberFormat="0" applyProtection="0">
      <alignment horizontal="left" vertical="center" indent="1"/>
    </xf>
    <xf numFmtId="4" fontId="36" fillId="0" borderId="24" applyNumberFormat="0" applyProtection="0">
      <alignment horizontal="right" vertical="center"/>
    </xf>
    <xf numFmtId="4" fontId="36" fillId="20" borderId="24" applyNumberFormat="0" applyProtection="0">
      <alignment horizontal="left" vertical="center" indent="1"/>
    </xf>
    <xf numFmtId="4" fontId="36" fillId="22" borderId="24" applyNumberFormat="0" applyProtection="0">
      <alignment vertical="center"/>
    </xf>
    <xf numFmtId="4" fontId="36" fillId="21" borderId="24" applyNumberFormat="0" applyProtection="0">
      <alignment horizontal="left" vertical="center" indent="1"/>
    </xf>
    <xf numFmtId="4" fontId="36" fillId="0" borderId="24" applyNumberFormat="0" applyProtection="0">
      <alignment horizontal="right" vertical="center"/>
    </xf>
    <xf numFmtId="4" fontId="36" fillId="20" borderId="24" applyNumberFormat="0" applyProtection="0">
      <alignment horizontal="left" vertical="center" indent="1"/>
    </xf>
    <xf numFmtId="4" fontId="36" fillId="22" borderId="24" applyNumberFormat="0" applyProtection="0">
      <alignment vertical="center"/>
    </xf>
    <xf numFmtId="4" fontId="36" fillId="21" borderId="24" applyNumberFormat="0" applyProtection="0">
      <alignment horizontal="left" vertical="center" indent="1"/>
    </xf>
    <xf numFmtId="4" fontId="36" fillId="0" borderId="24" applyNumberFormat="0" applyProtection="0">
      <alignment horizontal="right" vertical="center"/>
    </xf>
    <xf numFmtId="4" fontId="36" fillId="20" borderId="24" applyNumberFormat="0" applyProtection="0">
      <alignment horizontal="left" vertical="center" indent="1"/>
    </xf>
    <xf numFmtId="4" fontId="36" fillId="22" borderId="24" applyNumberFormat="0" applyProtection="0">
      <alignment vertical="center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2" borderId="1" applyNumberFormat="0" applyAlignment="0">
      <alignment horizontal="right"/>
      <protection locked="0"/>
    </xf>
    <xf numFmtId="9" fontId="1" fillId="0" borderId="0" applyFont="0" applyFill="0" applyBorder="0" applyAlignment="0" applyProtection="0"/>
  </cellStyleXfs>
  <cellXfs count="318">
    <xf numFmtId="0" fontId="0" fillId="0" borderId="0" xfId="0"/>
    <xf numFmtId="167" fontId="0" fillId="11" borderId="0" xfId="2" applyNumberFormat="1" applyFont="1" applyFill="1"/>
    <xf numFmtId="0" fontId="7" fillId="2" borderId="1" xfId="29" applyAlignment="1">
      <protection locked="0"/>
    </xf>
    <xf numFmtId="0" fontId="16" fillId="10" borderId="3" xfId="18">
      <alignment horizontal="centerContinuous" vertical="center" wrapText="1"/>
    </xf>
    <xf numFmtId="0" fontId="0" fillId="11" borderId="0" xfId="0" applyFill="1"/>
    <xf numFmtId="0" fontId="18" fillId="11" borderId="0" xfId="20" applyFont="1" applyFill="1"/>
    <xf numFmtId="0" fontId="14" fillId="11" borderId="0" xfId="20" applyFill="1"/>
    <xf numFmtId="0" fontId="10" fillId="11" borderId="10" xfId="20" applyFont="1" applyFill="1" applyBorder="1"/>
    <xf numFmtId="0" fontId="14" fillId="11" borderId="10" xfId="20" applyFill="1" applyBorder="1"/>
    <xf numFmtId="0" fontId="20" fillId="0" borderId="0" xfId="20" applyFont="1"/>
    <xf numFmtId="0" fontId="21" fillId="0" borderId="0" xfId="20" applyFont="1"/>
    <xf numFmtId="0" fontId="22" fillId="0" borderId="0" xfId="7" applyFont="1"/>
    <xf numFmtId="0" fontId="23" fillId="11" borderId="0" xfId="19" applyFont="1" applyFill="1"/>
    <xf numFmtId="0" fontId="14" fillId="0" borderId="0" xfId="20"/>
    <xf numFmtId="0" fontId="14" fillId="3" borderId="2" xfId="20" applyFill="1" applyBorder="1"/>
    <xf numFmtId="0" fontId="24" fillId="11" borderId="0" xfId="20" applyFont="1" applyFill="1"/>
    <xf numFmtId="0" fontId="12" fillId="11" borderId="3" xfId="8" applyFont="1" applyFill="1"/>
    <xf numFmtId="0" fontId="15" fillId="9" borderId="8" xfId="16"/>
    <xf numFmtId="0" fontId="14" fillId="0" borderId="6" xfId="11" applyFont="1"/>
    <xf numFmtId="0" fontId="14" fillId="0" borderId="7" xfId="13" applyFont="1"/>
    <xf numFmtId="0" fontId="25" fillId="0" borderId="0" xfId="19" applyFont="1"/>
    <xf numFmtId="0" fontId="12" fillId="6" borderId="3" xfId="12"/>
    <xf numFmtId="168" fontId="9" fillId="4" borderId="2" xfId="5"/>
    <xf numFmtId="167" fontId="26" fillId="0" borderId="0" xfId="22" applyFont="1"/>
    <xf numFmtId="0" fontId="7" fillId="8" borderId="3" xfId="15"/>
    <xf numFmtId="0" fontId="16" fillId="10" borderId="3" xfId="18" applyAlignment="1">
      <alignment horizontal="center" vertical="center" wrapText="1"/>
    </xf>
    <xf numFmtId="171" fontId="19" fillId="19" borderId="0" xfId="23"/>
    <xf numFmtId="0" fontId="6" fillId="0" borderId="0" xfId="24"/>
    <xf numFmtId="171" fontId="29" fillId="19" borderId="0" xfId="25"/>
    <xf numFmtId="0" fontId="6" fillId="11" borderId="0" xfId="24" applyFill="1"/>
    <xf numFmtId="0" fontId="31" fillId="9" borderId="3" xfId="26" applyFont="1" applyFill="1" applyBorder="1" applyAlignment="1">
      <alignment horizontal="center" vertical="center"/>
    </xf>
    <xf numFmtId="0" fontId="12" fillId="11" borderId="0" xfId="24" applyFont="1" applyFill="1"/>
    <xf numFmtId="0" fontId="14" fillId="11" borderId="0" xfId="24" applyFont="1" applyFill="1"/>
    <xf numFmtId="0" fontId="0" fillId="11" borderId="3" xfId="0" applyFill="1" applyBorder="1"/>
    <xf numFmtId="0" fontId="20" fillId="11" borderId="0" xfId="28" applyFont="1" applyFill="1"/>
    <xf numFmtId="0" fontId="16" fillId="10" borderId="3" xfId="18" applyAlignment="1">
      <alignment horizontal="left" vertical="center" wrapText="1"/>
    </xf>
    <xf numFmtId="0" fontId="0" fillId="11" borderId="3" xfId="0" applyFill="1" applyBorder="1" applyAlignment="1">
      <alignment horizontal="center"/>
    </xf>
    <xf numFmtId="172" fontId="7" fillId="8" borderId="3" xfId="15" applyNumberFormat="1"/>
    <xf numFmtId="171" fontId="29" fillId="19" borderId="0" xfId="25" applyAlignment="1">
      <alignment horizontal="right"/>
    </xf>
    <xf numFmtId="0" fontId="32" fillId="11" borderId="0" xfId="24" applyFont="1" applyFill="1"/>
    <xf numFmtId="171" fontId="32" fillId="8" borderId="3" xfId="15" applyNumberFormat="1" applyFont="1" applyAlignment="1">
      <alignment horizontal="center"/>
    </xf>
    <xf numFmtId="0" fontId="12" fillId="11" borderId="3" xfId="0" applyFont="1" applyFill="1" applyBorder="1"/>
    <xf numFmtId="0" fontId="12" fillId="11" borderId="3" xfId="0" applyFont="1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0" fillId="11" borderId="16" xfId="0" applyFill="1" applyBorder="1"/>
    <xf numFmtId="0" fontId="0" fillId="11" borderId="0" xfId="24" applyFont="1" applyFill="1"/>
    <xf numFmtId="0" fontId="21" fillId="0" borderId="0" xfId="28" applyAlignment="1">
      <alignment horizontal="left"/>
    </xf>
    <xf numFmtId="0" fontId="12" fillId="11" borderId="0" xfId="21" applyFill="1"/>
    <xf numFmtId="0" fontId="25" fillId="0" borderId="0" xfId="19"/>
    <xf numFmtId="0" fontId="12" fillId="9" borderId="9" xfId="27" applyFont="1"/>
    <xf numFmtId="0" fontId="25" fillId="11" borderId="0" xfId="19" applyFill="1"/>
    <xf numFmtId="0" fontId="16" fillId="10" borderId="3" xfId="18" applyAlignment="1">
      <alignment horizontal="center" vertical="center" wrapText="1"/>
    </xf>
    <xf numFmtId="167" fontId="12" fillId="0" borderId="3" xfId="8" applyNumberFormat="1" applyAlignment="1"/>
    <xf numFmtId="169" fontId="12" fillId="0" borderId="3" xfId="8" applyNumberFormat="1" applyAlignment="1"/>
    <xf numFmtId="0" fontId="16" fillId="10" borderId="3" xfId="18" applyAlignment="1">
      <alignment horizontal="center" vertical="center" wrapText="1"/>
    </xf>
    <xf numFmtId="0" fontId="12" fillId="0" borderId="15" xfId="0" applyFont="1" applyBorder="1" applyAlignment="1">
      <alignment horizontal="center"/>
    </xf>
    <xf numFmtId="0" fontId="12" fillId="11" borderId="12" xfId="0" applyFont="1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167" fontId="12" fillId="6" borderId="3" xfId="12" applyNumberFormat="1"/>
    <xf numFmtId="0" fontId="17" fillId="9" borderId="9" xfId="27"/>
    <xf numFmtId="0" fontId="0" fillId="0" borderId="0" xfId="0"/>
    <xf numFmtId="0" fontId="5" fillId="11" borderId="0" xfId="24" applyFont="1" applyFill="1"/>
    <xf numFmtId="0" fontId="0" fillId="11" borderId="0" xfId="20" applyFont="1" applyFill="1"/>
    <xf numFmtId="0" fontId="7" fillId="2" borderId="1" xfId="29" applyNumberFormat="1">
      <alignment horizontal="right"/>
      <protection locked="0"/>
    </xf>
    <xf numFmtId="0" fontId="7" fillId="18" borderId="1" xfId="30" applyNumberFormat="1">
      <alignment horizontal="right"/>
      <protection locked="0"/>
    </xf>
    <xf numFmtId="167" fontId="7" fillId="2" borderId="1" xfId="29" applyNumberFormat="1" applyAlignment="1">
      <protection locked="0"/>
    </xf>
    <xf numFmtId="167" fontId="15" fillId="9" borderId="8" xfId="16" applyNumberFormat="1" applyAlignment="1"/>
    <xf numFmtId="172" fontId="7" fillId="2" borderId="1" xfId="29" applyNumberFormat="1" applyAlignment="1">
      <protection locked="0"/>
    </xf>
    <xf numFmtId="0" fontId="12" fillId="9" borderId="9" xfId="27" applyFont="1" applyAlignment="1">
      <alignment horizontal="center"/>
    </xf>
    <xf numFmtId="0" fontId="12" fillId="9" borderId="3" xfId="27" applyFont="1" applyBorder="1"/>
    <xf numFmtId="0" fontId="12" fillId="9" borderId="3" xfId="27" applyFont="1" applyBorder="1" applyAlignment="1">
      <alignment horizontal="center"/>
    </xf>
    <xf numFmtId="0" fontId="7" fillId="2" borderId="1" xfId="29" applyAlignment="1">
      <alignment horizontal="center"/>
      <protection locked="0"/>
    </xf>
    <xf numFmtId="0" fontId="12" fillId="6" borderId="3" xfId="12" applyAlignment="1">
      <alignment horizontal="center"/>
    </xf>
    <xf numFmtId="167" fontId="12" fillId="6" borderId="3" xfId="12" applyNumberFormat="1" applyAlignment="1"/>
    <xf numFmtId="0" fontId="12" fillId="6" borderId="3" xfId="12" applyFont="1" applyAlignment="1">
      <alignment horizontal="center"/>
    </xf>
    <xf numFmtId="167" fontId="0" fillId="11" borderId="0" xfId="0" applyNumberFormat="1" applyFill="1"/>
    <xf numFmtId="173" fontId="0" fillId="11" borderId="0" xfId="0" applyNumberFormat="1" applyFill="1"/>
    <xf numFmtId="0" fontId="33" fillId="11" borderId="0" xfId="24" applyFont="1" applyFill="1"/>
    <xf numFmtId="0" fontId="16" fillId="10" borderId="3" xfId="18" applyAlignment="1">
      <alignment horizontal="center" vertical="center" wrapText="1"/>
    </xf>
    <xf numFmtId="0" fontId="16" fillId="10" borderId="3" xfId="18" applyAlignment="1">
      <alignment horizontal="center" vertical="center" wrapText="1"/>
    </xf>
    <xf numFmtId="0" fontId="16" fillId="10" borderId="3" xfId="18" applyAlignment="1">
      <alignment horizontal="center" vertical="center" wrapText="1"/>
    </xf>
    <xf numFmtId="0" fontId="16" fillId="10" borderId="3" xfId="18" applyBorder="1" applyAlignment="1">
      <alignment horizontal="center" vertical="center" wrapText="1"/>
    </xf>
    <xf numFmtId="0" fontId="16" fillId="10" borderId="11" xfId="18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0" fontId="12" fillId="11" borderId="3" xfId="0" applyFont="1" applyFill="1" applyBorder="1" applyAlignment="1">
      <alignment horizontal="left"/>
    </xf>
    <xf numFmtId="0" fontId="16" fillId="10" borderId="3" xfId="18" applyBorder="1" applyAlignment="1">
      <alignment horizontal="left" vertical="center" wrapText="1"/>
    </xf>
    <xf numFmtId="0" fontId="21" fillId="11" borderId="0" xfId="0" applyFont="1" applyFill="1"/>
    <xf numFmtId="0" fontId="12" fillId="0" borderId="17" xfId="0" applyFont="1" applyBorder="1" applyAlignment="1">
      <alignment horizontal="center"/>
    </xf>
    <xf numFmtId="0" fontId="12" fillId="11" borderId="7" xfId="0" applyFont="1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167" fontId="12" fillId="6" borderId="3" xfId="12" applyNumberFormat="1" applyBorder="1"/>
    <xf numFmtId="172" fontId="7" fillId="2" borderId="1" xfId="29" applyNumberFormat="1" applyFont="1" applyAlignment="1">
      <protection locked="0"/>
    </xf>
    <xf numFmtId="166" fontId="12" fillId="0" borderId="3" xfId="8" applyNumberFormat="1"/>
    <xf numFmtId="167" fontId="12" fillId="0" borderId="3" xfId="8" applyNumberFormat="1"/>
    <xf numFmtId="0" fontId="34" fillId="11" borderId="0" xfId="24" applyFont="1" applyFill="1"/>
    <xf numFmtId="0" fontId="7" fillId="2" borderId="1" xfId="29" applyAlignment="1">
      <alignment horizontal="center"/>
      <protection locked="0"/>
    </xf>
    <xf numFmtId="167" fontId="15" fillId="9" borderId="8" xfId="16" applyNumberFormat="1"/>
    <xf numFmtId="173" fontId="12" fillId="0" borderId="3" xfId="8" applyNumberFormat="1" applyAlignment="1"/>
    <xf numFmtId="167" fontId="15" fillId="9" borderId="8" xfId="16" applyNumberFormat="1" applyAlignment="1">
      <alignment vertical="center"/>
    </xf>
    <xf numFmtId="175" fontId="0" fillId="11" borderId="0" xfId="0" applyNumberFormat="1" applyFill="1"/>
    <xf numFmtId="1" fontId="0" fillId="11" borderId="0" xfId="0" applyNumberFormat="1" applyFill="1" applyAlignment="1">
      <alignment horizontal="center"/>
    </xf>
    <xf numFmtId="0" fontId="12" fillId="9" borderId="9" xfId="27" applyFont="1" applyAlignment="1">
      <alignment horizontal="left"/>
    </xf>
    <xf numFmtId="0" fontId="30" fillId="11" borderId="0" xfId="26" applyFill="1" applyAlignment="1">
      <alignment vertical="top"/>
    </xf>
    <xf numFmtId="169" fontId="0" fillId="11" borderId="0" xfId="1" applyFont="1" applyFill="1"/>
    <xf numFmtId="169" fontId="0" fillId="11" borderId="0" xfId="0" applyNumberFormat="1" applyFill="1"/>
    <xf numFmtId="169" fontId="12" fillId="11" borderId="11" xfId="8" applyNumberFormat="1" applyFill="1" applyBorder="1" applyAlignment="1"/>
    <xf numFmtId="169" fontId="12" fillId="11" borderId="12" xfId="8" applyNumberFormat="1" applyFill="1" applyBorder="1" applyAlignment="1"/>
    <xf numFmtId="0" fontId="12" fillId="9" borderId="18" xfId="27" applyFont="1" applyBorder="1" applyAlignment="1">
      <alignment horizontal="center"/>
    </xf>
    <xf numFmtId="169" fontId="12" fillId="3" borderId="11" xfId="4" applyNumberFormat="1" applyFont="1" applyBorder="1" applyAlignment="1"/>
    <xf numFmtId="169" fontId="12" fillId="3" borderId="12" xfId="4" applyNumberFormat="1" applyFont="1" applyBorder="1" applyAlignment="1"/>
    <xf numFmtId="169" fontId="12" fillId="3" borderId="3" xfId="4" applyNumberFormat="1" applyFont="1" applyBorder="1" applyAlignment="1"/>
    <xf numFmtId="0" fontId="25" fillId="0" borderId="0" xfId="19" applyAlignment="1">
      <alignment vertical="top"/>
    </xf>
    <xf numFmtId="0" fontId="0" fillId="11" borderId="0" xfId="0" applyFill="1" applyAlignment="1">
      <alignment vertical="top"/>
    </xf>
    <xf numFmtId="0" fontId="16" fillId="10" borderId="3" xfId="18" applyAlignment="1">
      <alignment horizontal="center" vertical="center" wrapText="1"/>
    </xf>
    <xf numFmtId="0" fontId="7" fillId="2" borderId="1" xfId="29" applyNumberFormat="1" applyAlignment="1">
      <alignment horizontal="center"/>
      <protection locked="0"/>
    </xf>
    <xf numFmtId="0" fontId="7" fillId="3" borderId="3" xfId="4" applyNumberFormat="1" applyFont="1" applyBorder="1" applyAlignment="1">
      <alignment horizontal="center"/>
    </xf>
    <xf numFmtId="1" fontId="0" fillId="11" borderId="0" xfId="0" applyNumberFormat="1" applyFill="1"/>
    <xf numFmtId="0" fontId="20" fillId="0" borderId="0" xfId="28" applyFont="1"/>
    <xf numFmtId="0" fontId="12" fillId="7" borderId="1" xfId="14"/>
    <xf numFmtId="0" fontId="0" fillId="0" borderId="0" xfId="0"/>
    <xf numFmtId="0" fontId="0" fillId="11" borderId="0" xfId="0" applyFill="1"/>
    <xf numFmtId="0" fontId="21" fillId="0" borderId="0" xfId="28"/>
    <xf numFmtId="0" fontId="0" fillId="0" borderId="0" xfId="0"/>
    <xf numFmtId="0" fontId="0" fillId="11" borderId="0" xfId="0" applyFill="1"/>
    <xf numFmtId="0" fontId="21" fillId="0" borderId="0" xfId="28"/>
    <xf numFmtId="0" fontId="0" fillId="0" borderId="0" xfId="0"/>
    <xf numFmtId="0" fontId="0" fillId="11" borderId="0" xfId="0" applyFill="1"/>
    <xf numFmtId="0" fontId="0" fillId="0" borderId="0" xfId="0"/>
    <xf numFmtId="0" fontId="0" fillId="11" borderId="0" xfId="0" applyFill="1"/>
    <xf numFmtId="0" fontId="0" fillId="0" borderId="0" xfId="0"/>
    <xf numFmtId="0" fontId="0" fillId="11" borderId="0" xfId="0" applyFill="1"/>
    <xf numFmtId="0" fontId="25" fillId="0" borderId="0" xfId="19"/>
    <xf numFmtId="0" fontId="25" fillId="0" borderId="0" xfId="19"/>
    <xf numFmtId="167" fontId="12" fillId="6" borderId="3" xfId="12" applyNumberFormat="1"/>
    <xf numFmtId="0" fontId="12" fillId="6" borderId="3" xfId="12" applyAlignment="1">
      <alignment horizontal="center"/>
    </xf>
    <xf numFmtId="0" fontId="0" fillId="11" borderId="0" xfId="0" applyFill="1"/>
    <xf numFmtId="0" fontId="21" fillId="0" borderId="0" xfId="28"/>
    <xf numFmtId="0" fontId="0" fillId="0" borderId="0" xfId="0"/>
    <xf numFmtId="0" fontId="25" fillId="11" borderId="0" xfId="19" applyFill="1"/>
    <xf numFmtId="0" fontId="25" fillId="0" borderId="0" xfId="19"/>
    <xf numFmtId="0" fontId="25" fillId="0" borderId="0" xfId="19"/>
    <xf numFmtId="0" fontId="25" fillId="0" borderId="0" xfId="19"/>
    <xf numFmtId="166" fontId="0" fillId="11" borderId="0" xfId="0" applyNumberFormat="1" applyFill="1"/>
    <xf numFmtId="0" fontId="0" fillId="11" borderId="0" xfId="0" applyFill="1"/>
    <xf numFmtId="167" fontId="12" fillId="0" borderId="3" xfId="8" applyNumberFormat="1" applyAlignment="1"/>
    <xf numFmtId="0" fontId="21" fillId="11" borderId="0" xfId="28" applyFill="1"/>
    <xf numFmtId="0" fontId="0" fillId="0" borderId="0" xfId="0"/>
    <xf numFmtId="0" fontId="12" fillId="6" borderId="3" xfId="12" applyAlignment="1">
      <alignment horizontal="right"/>
    </xf>
    <xf numFmtId="0" fontId="25" fillId="11" borderId="0" xfId="19" applyFill="1" applyAlignment="1">
      <alignment vertical="top"/>
    </xf>
    <xf numFmtId="167" fontId="12" fillId="3" borderId="3" xfId="4" applyNumberFormat="1" applyFont="1" applyBorder="1"/>
    <xf numFmtId="176" fontId="0" fillId="11" borderId="0" xfId="0" applyNumberFormat="1" applyFill="1"/>
    <xf numFmtId="177" fontId="0" fillId="11" borderId="0" xfId="0" applyNumberFormat="1" applyFill="1"/>
    <xf numFmtId="178" fontId="0" fillId="11" borderId="0" xfId="0" applyNumberFormat="1" applyFill="1"/>
    <xf numFmtId="0" fontId="35" fillId="11" borderId="0" xfId="19" applyFont="1" applyFill="1" applyAlignment="1">
      <alignment vertical="top"/>
    </xf>
    <xf numFmtId="0" fontId="0" fillId="11" borderId="0" xfId="0" applyFill="1" applyAlignment="1">
      <alignment vertical="center"/>
    </xf>
    <xf numFmtId="0" fontId="30" fillId="11" borderId="0" xfId="26" applyFill="1" applyAlignment="1">
      <alignment vertical="center"/>
    </xf>
    <xf numFmtId="0" fontId="25" fillId="0" borderId="0" xfId="19" applyAlignment="1">
      <alignment vertical="center"/>
    </xf>
    <xf numFmtId="0" fontId="0" fillId="0" borderId="0" xfId="0" applyAlignment="1">
      <alignment vertical="center"/>
    </xf>
    <xf numFmtId="0" fontId="16" fillId="10" borderId="3" xfId="18" applyBorder="1" applyAlignment="1">
      <alignment horizontal="center" vertical="center" wrapText="1"/>
    </xf>
    <xf numFmtId="0" fontId="12" fillId="0" borderId="3" xfId="8" applyAlignment="1">
      <alignment horizontal="right"/>
    </xf>
    <xf numFmtId="0" fontId="7" fillId="8" borderId="3" xfId="15" applyAlignment="1">
      <alignment horizontal="right"/>
    </xf>
    <xf numFmtId="0" fontId="25" fillId="11" borderId="0" xfId="19" applyFill="1" applyAlignment="1">
      <alignment horizontal="center"/>
    </xf>
    <xf numFmtId="0" fontId="0" fillId="0" borderId="0" xfId="0"/>
    <xf numFmtId="0" fontId="16" fillId="10" borderId="3" xfId="18" applyAlignment="1">
      <alignment horizontal="center" vertical="center" wrapText="1"/>
    </xf>
    <xf numFmtId="0" fontId="15" fillId="9" borderId="8" xfId="16" applyAlignment="1">
      <alignment horizontal="center"/>
    </xf>
    <xf numFmtId="0" fontId="12" fillId="11" borderId="3" xfId="0" applyFont="1" applyFill="1" applyBorder="1" applyAlignment="1">
      <alignment horizontal="left"/>
    </xf>
    <xf numFmtId="0" fontId="0" fillId="11" borderId="3" xfId="0" applyFill="1" applyBorder="1" applyAlignment="1">
      <alignment horizontal="center" vertical="top" wrapText="1"/>
    </xf>
    <xf numFmtId="0" fontId="0" fillId="11" borderId="0" xfId="0" applyFill="1" applyAlignment="1">
      <alignment horizontal="center"/>
    </xf>
    <xf numFmtId="171" fontId="29" fillId="11" borderId="0" xfId="25" applyFill="1"/>
    <xf numFmtId="0" fontId="14" fillId="11" borderId="0" xfId="24" applyFont="1" applyFill="1" applyBorder="1" applyAlignment="1"/>
    <xf numFmtId="167" fontId="0" fillId="11" borderId="0" xfId="0" applyNumberFormat="1" applyFill="1" applyAlignment="1">
      <alignment horizontal="center"/>
    </xf>
    <xf numFmtId="0" fontId="12" fillId="0" borderId="3" xfId="8" applyNumberFormat="1" applyAlignment="1">
      <alignment horizontal="center"/>
    </xf>
    <xf numFmtId="0" fontId="16" fillId="10" borderId="3" xfId="18" applyBorder="1" applyAlignment="1">
      <alignment horizontal="center" vertical="center" wrapText="1"/>
    </xf>
    <xf numFmtId="166" fontId="0" fillId="11" borderId="0" xfId="2" applyNumberFormat="1" applyFont="1" applyFill="1"/>
    <xf numFmtId="174" fontId="0" fillId="11" borderId="0" xfId="0" applyNumberFormat="1" applyFill="1"/>
    <xf numFmtId="0" fontId="12" fillId="6" borderId="16" xfId="12" applyFont="1" applyBorder="1" applyAlignment="1">
      <alignment horizontal="center"/>
    </xf>
    <xf numFmtId="0" fontId="15" fillId="9" borderId="8" xfId="16" applyAlignment="1">
      <alignment horizontal="center"/>
    </xf>
    <xf numFmtId="3" fontId="0" fillId="11" borderId="0" xfId="0" applyNumberFormat="1" applyFill="1"/>
    <xf numFmtId="176" fontId="0" fillId="11" borderId="0" xfId="2" applyNumberFormat="1" applyFont="1" applyFill="1"/>
    <xf numFmtId="180" fontId="0" fillId="11" borderId="0" xfId="0" applyNumberFormat="1" applyFill="1"/>
    <xf numFmtId="181" fontId="0" fillId="11" borderId="0" xfId="2" applyNumberFormat="1" applyFont="1" applyFill="1"/>
    <xf numFmtId="182" fontId="0" fillId="11" borderId="0" xfId="0" applyNumberFormat="1" applyFill="1"/>
    <xf numFmtId="0" fontId="38" fillId="11" borderId="0" xfId="0" applyFont="1" applyFill="1" applyAlignment="1">
      <alignment vertical="center"/>
    </xf>
    <xf numFmtId="3" fontId="38" fillId="11" borderId="0" xfId="0" applyNumberFormat="1" applyFont="1" applyFill="1"/>
    <xf numFmtId="167" fontId="12" fillId="25" borderId="3" xfId="12" applyNumberFormat="1" applyFill="1" applyAlignment="1"/>
    <xf numFmtId="167" fontId="15" fillId="26" borderId="8" xfId="16" applyNumberFormat="1" applyFill="1"/>
    <xf numFmtId="167" fontId="7" fillId="27" borderId="3" xfId="15" applyNumberFormat="1" applyFill="1"/>
    <xf numFmtId="167" fontId="7" fillId="27" borderId="3" xfId="2" applyNumberFormat="1" applyFont="1" applyFill="1" applyBorder="1"/>
    <xf numFmtId="167" fontId="7" fillId="8" borderId="3" xfId="2" applyNumberFormat="1" applyFont="1" applyFill="1" applyBorder="1"/>
    <xf numFmtId="167" fontId="15" fillId="26" borderId="8" xfId="16" applyNumberFormat="1" applyFill="1" applyAlignment="1"/>
    <xf numFmtId="173" fontId="12" fillId="0" borderId="3" xfId="8" applyNumberFormat="1" applyFill="1" applyAlignment="1"/>
    <xf numFmtId="167" fontId="7" fillId="2" borderId="23" xfId="34" applyNumberFormat="1" applyFill="1" applyBorder="1" applyAlignment="1">
      <protection locked="0"/>
    </xf>
    <xf numFmtId="167" fontId="12" fillId="25" borderId="3" xfId="12" applyNumberFormat="1" applyFill="1" applyBorder="1"/>
    <xf numFmtId="173" fontId="15" fillId="26" borderId="8" xfId="16" applyNumberFormat="1" applyFill="1"/>
    <xf numFmtId="166" fontId="15" fillId="26" borderId="8" xfId="16" applyNumberFormat="1" applyFill="1"/>
    <xf numFmtId="171" fontId="32" fillId="27" borderId="3" xfId="15" applyNumberFormat="1" applyFont="1" applyFill="1" applyAlignment="1">
      <alignment horizontal="center"/>
    </xf>
    <xf numFmtId="171" fontId="29" fillId="19" borderId="0" xfId="25" applyFill="1"/>
    <xf numFmtId="166" fontId="12" fillId="0" borderId="3" xfId="8" applyNumberFormat="1" applyFill="1"/>
    <xf numFmtId="167" fontId="0" fillId="24" borderId="3" xfId="0" applyNumberFormat="1" applyFill="1" applyBorder="1"/>
    <xf numFmtId="167" fontId="12" fillId="0" borderId="3" xfId="8" applyNumberFormat="1" applyFill="1" applyAlignment="1"/>
    <xf numFmtId="167" fontId="15" fillId="26" borderId="8" xfId="16" applyNumberFormat="1" applyFill="1" applyAlignment="1">
      <alignment vertical="center"/>
    </xf>
    <xf numFmtId="0" fontId="12" fillId="0" borderId="3" xfId="8" applyNumberFormat="1" applyFill="1" applyAlignment="1">
      <alignment horizontal="center"/>
    </xf>
    <xf numFmtId="167" fontId="12" fillId="25" borderId="3" xfId="12" applyNumberFormat="1" applyFill="1"/>
    <xf numFmtId="167" fontId="0" fillId="28" borderId="3" xfId="0" applyNumberFormat="1" applyFill="1" applyBorder="1"/>
    <xf numFmtId="167" fontId="7" fillId="2" borderId="1" xfId="29" applyNumberFormat="1" applyFill="1" applyAlignment="1">
      <protection locked="0"/>
    </xf>
    <xf numFmtId="167" fontId="7" fillId="2" borderId="1" xfId="34" applyNumberFormat="1" applyFill="1" applyAlignment="1">
      <protection locked="0"/>
    </xf>
    <xf numFmtId="167" fontId="12" fillId="0" borderId="3" xfId="8" applyNumberFormat="1" applyFill="1" applyAlignment="1">
      <alignment horizontal="center"/>
    </xf>
    <xf numFmtId="169" fontId="7" fillId="27" borderId="3" xfId="15" applyNumberFormat="1" applyFill="1"/>
    <xf numFmtId="167" fontId="12" fillId="0" borderId="3" xfId="8" applyNumberFormat="1" applyFill="1"/>
    <xf numFmtId="0" fontId="12" fillId="26" borderId="9" xfId="27" applyFont="1" applyFill="1" applyAlignment="1">
      <alignment horizontal="left"/>
    </xf>
    <xf numFmtId="0" fontId="12" fillId="26" borderId="9" xfId="27" applyFont="1" applyFill="1" applyAlignment="1">
      <alignment horizontal="center"/>
    </xf>
    <xf numFmtId="0" fontId="7" fillId="2" borderId="20" xfId="29" applyNumberFormat="1" applyFill="1" applyBorder="1" applyAlignment="1">
      <alignment horizontal="center"/>
      <protection locked="0"/>
    </xf>
    <xf numFmtId="0" fontId="7" fillId="2" borderId="1" xfId="29" applyNumberFormat="1" applyFill="1" applyAlignment="1">
      <alignment horizontal="center"/>
      <protection locked="0"/>
    </xf>
    <xf numFmtId="0" fontId="7" fillId="2" borderId="19" xfId="29" applyNumberFormat="1" applyFill="1" applyBorder="1" applyAlignment="1">
      <alignment horizontal="center"/>
      <protection locked="0"/>
    </xf>
    <xf numFmtId="169" fontId="12" fillId="0" borderId="3" xfId="8" applyNumberFormat="1" applyFill="1" applyAlignment="1"/>
    <xf numFmtId="167" fontId="12" fillId="3" borderId="3" xfId="4" applyNumberFormat="1" applyFont="1" applyFill="1" applyBorder="1" applyAlignment="1"/>
    <xf numFmtId="0" fontId="15" fillId="26" borderId="8" xfId="16" applyFill="1" applyAlignment="1">
      <alignment horizontal="center"/>
    </xf>
    <xf numFmtId="0" fontId="16" fillId="29" borderId="12" xfId="18" applyFill="1" applyBorder="1" applyAlignment="1">
      <alignment horizontal="center" vertical="center" wrapText="1"/>
    </xf>
    <xf numFmtId="169" fontId="12" fillId="0" borderId="3" xfId="1" applyFont="1" applyFill="1" applyBorder="1" applyAlignment="1"/>
    <xf numFmtId="169" fontId="15" fillId="26" borderId="8" xfId="16" applyNumberFormat="1" applyFill="1" applyAlignment="1"/>
    <xf numFmtId="172" fontId="15" fillId="26" borderId="8" xfId="16" applyNumberFormat="1" applyFill="1" applyAlignment="1"/>
    <xf numFmtId="167" fontId="0" fillId="28" borderId="3" xfId="2" applyNumberFormat="1" applyFont="1" applyFill="1" applyBorder="1"/>
    <xf numFmtId="167" fontId="15" fillId="2" borderId="8" xfId="16" applyNumberFormat="1" applyFill="1" applyAlignment="1"/>
    <xf numFmtId="172" fontId="7" fillId="2" borderId="1" xfId="29" applyNumberFormat="1" applyFill="1" applyAlignment="1">
      <protection locked="0"/>
    </xf>
    <xf numFmtId="172" fontId="7" fillId="2" borderId="1" xfId="29" applyNumberFormat="1" applyFont="1" applyFill="1" applyAlignment="1">
      <protection locked="0"/>
    </xf>
    <xf numFmtId="10" fontId="7" fillId="0" borderId="1" xfId="29" applyNumberFormat="1" applyFill="1" applyAlignment="1">
      <alignment horizontal="center"/>
      <protection locked="0"/>
    </xf>
    <xf numFmtId="10" fontId="7" fillId="0" borderId="19" xfId="29" applyNumberFormat="1" applyFill="1" applyBorder="1" applyAlignment="1">
      <alignment horizontal="center"/>
      <protection locked="0"/>
    </xf>
    <xf numFmtId="166" fontId="12" fillId="0" borderId="3" xfId="8" applyNumberFormat="1" applyFill="1" applyAlignment="1"/>
    <xf numFmtId="0" fontId="21" fillId="0" borderId="3" xfId="0" applyFont="1" applyBorder="1"/>
    <xf numFmtId="0" fontId="21" fillId="0" borderId="3" xfId="0" applyFont="1" applyBorder="1" applyAlignment="1">
      <alignment horizontal="center"/>
    </xf>
    <xf numFmtId="166" fontId="0" fillId="30" borderId="3" xfId="2" applyFont="1" applyFill="1" applyBorder="1" applyAlignment="1">
      <alignment horizontal="center"/>
    </xf>
    <xf numFmtId="173" fontId="12" fillId="30" borderId="3" xfId="8" applyNumberFormat="1" applyFill="1"/>
    <xf numFmtId="173" fontId="12" fillId="31" borderId="3" xfId="8" applyNumberFormat="1" applyFill="1"/>
    <xf numFmtId="3" fontId="12" fillId="15" borderId="3" xfId="21" applyNumberFormat="1" applyFill="1" applyBorder="1" applyAlignment="1">
      <alignment wrapText="1"/>
    </xf>
    <xf numFmtId="0" fontId="16" fillId="10" borderId="3" xfId="18" applyBorder="1" applyAlignment="1">
      <alignment horizontal="center" vertical="center" wrapText="1"/>
    </xf>
    <xf numFmtId="0" fontId="0" fillId="32" borderId="3" xfId="0" applyFill="1" applyBorder="1"/>
    <xf numFmtId="0" fontId="0" fillId="11" borderId="3" xfId="24" applyFont="1" applyFill="1" applyBorder="1" applyAlignment="1"/>
    <xf numFmtId="0" fontId="14" fillId="11" borderId="3" xfId="24" applyFont="1" applyFill="1" applyBorder="1" applyAlignment="1"/>
    <xf numFmtId="0" fontId="39" fillId="0" borderId="0" xfId="67" applyFont="1"/>
    <xf numFmtId="0" fontId="1" fillId="0" borderId="0" xfId="67"/>
    <xf numFmtId="0" fontId="39" fillId="0" borderId="26" xfId="67" applyFont="1" applyBorder="1"/>
    <xf numFmtId="0" fontId="1" fillId="0" borderId="6" xfId="67" applyBorder="1"/>
    <xf numFmtId="0" fontId="1" fillId="0" borderId="27" xfId="67" applyBorder="1"/>
    <xf numFmtId="0" fontId="1" fillId="0" borderId="28" xfId="67" applyBorder="1" applyAlignment="1">
      <alignment horizontal="center"/>
    </xf>
    <xf numFmtId="0" fontId="39" fillId="0" borderId="0" xfId="67" applyFont="1" applyBorder="1"/>
    <xf numFmtId="0" fontId="1" fillId="0" borderId="0" xfId="67" applyBorder="1"/>
    <xf numFmtId="0" fontId="1" fillId="0" borderId="29" xfId="67" applyBorder="1"/>
    <xf numFmtId="0" fontId="1" fillId="0" borderId="30" xfId="67" applyBorder="1"/>
    <xf numFmtId="0" fontId="1" fillId="0" borderId="14" xfId="67" applyBorder="1"/>
    <xf numFmtId="0" fontId="1" fillId="0" borderId="31" xfId="67" applyBorder="1"/>
    <xf numFmtId="0" fontId="39" fillId="0" borderId="0" xfId="67" applyFont="1" applyAlignment="1">
      <alignment horizontal="center"/>
    </xf>
    <xf numFmtId="0" fontId="1" fillId="0" borderId="0" xfId="67" applyFill="1"/>
    <xf numFmtId="0" fontId="39" fillId="33" borderId="0" xfId="67" applyFont="1" applyFill="1"/>
    <xf numFmtId="0" fontId="41" fillId="33" borderId="0" xfId="67" applyFont="1" applyFill="1"/>
    <xf numFmtId="0" fontId="1" fillId="33" borderId="0" xfId="67" applyFill="1"/>
    <xf numFmtId="185" fontId="40" fillId="0" borderId="0" xfId="67" applyNumberFormat="1" applyFont="1"/>
    <xf numFmtId="185" fontId="1" fillId="0" borderId="0" xfId="67" applyNumberFormat="1"/>
    <xf numFmtId="9" fontId="1" fillId="0" borderId="0" xfId="67" applyNumberFormat="1" applyAlignment="1">
      <alignment horizontal="right"/>
    </xf>
    <xf numFmtId="9" fontId="0" fillId="0" borderId="0" xfId="70" applyFont="1" applyAlignment="1">
      <alignment horizontal="center"/>
    </xf>
    <xf numFmtId="3" fontId="1" fillId="0" borderId="0" xfId="67" applyNumberFormat="1"/>
    <xf numFmtId="0" fontId="41" fillId="0" borderId="0" xfId="67" applyFont="1"/>
    <xf numFmtId="9" fontId="0" fillId="0" borderId="0" xfId="70" applyFont="1"/>
    <xf numFmtId="0" fontId="39" fillId="0" borderId="0" xfId="67" applyFont="1" applyFill="1" applyBorder="1"/>
    <xf numFmtId="9" fontId="39" fillId="0" borderId="0" xfId="67" applyNumberFormat="1" applyFont="1" applyFill="1" applyBorder="1" applyAlignment="1">
      <alignment horizontal="center"/>
    </xf>
    <xf numFmtId="0" fontId="39" fillId="0" borderId="0" xfId="67" applyFont="1" applyBorder="1" applyAlignment="1">
      <alignment horizontal="center"/>
    </xf>
    <xf numFmtId="9" fontId="40" fillId="17" borderId="0" xfId="67" applyNumberFormat="1" applyFont="1" applyFill="1" applyBorder="1"/>
    <xf numFmtId="9" fontId="1" fillId="0" borderId="0" xfId="67" applyNumberFormat="1" applyBorder="1"/>
    <xf numFmtId="0" fontId="1" fillId="0" borderId="0" xfId="67" applyFill="1" applyBorder="1"/>
    <xf numFmtId="10" fontId="40" fillId="17" borderId="0" xfId="67" applyNumberFormat="1" applyFont="1" applyFill="1" applyBorder="1"/>
    <xf numFmtId="167" fontId="12" fillId="34" borderId="3" xfId="8" applyNumberFormat="1" applyFill="1" applyAlignment="1"/>
    <xf numFmtId="0" fontId="12" fillId="11" borderId="3" xfId="26" applyFont="1" applyFill="1" applyBorder="1" applyAlignment="1">
      <alignment horizontal="center"/>
    </xf>
    <xf numFmtId="0" fontId="12" fillId="11" borderId="3" xfId="24" applyFont="1" applyFill="1" applyBorder="1" applyAlignment="1">
      <alignment horizontal="center"/>
    </xf>
    <xf numFmtId="0" fontId="27" fillId="16" borderId="3" xfId="24" applyFont="1" applyFill="1" applyBorder="1" applyAlignment="1">
      <alignment horizontal="center"/>
    </xf>
    <xf numFmtId="0" fontId="27" fillId="13" borderId="3" xfId="24" applyFont="1" applyFill="1" applyBorder="1" applyAlignment="1">
      <alignment horizontal="center"/>
    </xf>
    <xf numFmtId="0" fontId="27" fillId="17" borderId="3" xfId="24" applyFont="1" applyFill="1" applyBorder="1" applyAlignment="1">
      <alignment horizontal="center"/>
    </xf>
    <xf numFmtId="0" fontId="27" fillId="15" borderId="11" xfId="24" applyFont="1" applyFill="1" applyBorder="1" applyAlignment="1">
      <alignment horizontal="center"/>
    </xf>
    <xf numFmtId="0" fontId="27" fillId="15" borderId="12" xfId="24" applyFont="1" applyFill="1" applyBorder="1" applyAlignment="1">
      <alignment horizontal="center"/>
    </xf>
    <xf numFmtId="0" fontId="28" fillId="14" borderId="14" xfId="24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0" fillId="11" borderId="3" xfId="0" applyFill="1" applyBorder="1" applyAlignment="1">
      <alignment horizontal="left" vertical="top" wrapText="1"/>
    </xf>
    <xf numFmtId="164" fontId="16" fillId="10" borderId="11" xfId="18" applyNumberFormat="1" applyBorder="1" applyAlignment="1">
      <alignment horizontal="center" vertical="center" wrapText="1"/>
    </xf>
    <xf numFmtId="164" fontId="16" fillId="10" borderId="25" xfId="18" applyNumberFormat="1" applyBorder="1" applyAlignment="1">
      <alignment horizontal="center" vertical="center" wrapText="1"/>
    </xf>
    <xf numFmtId="164" fontId="16" fillId="10" borderId="12" xfId="18" applyNumberFormat="1" applyBorder="1" applyAlignment="1">
      <alignment horizontal="center" vertical="center" wrapText="1"/>
    </xf>
    <xf numFmtId="164" fontId="16" fillId="29" borderId="11" xfId="18" applyNumberFormat="1" applyFill="1" applyBorder="1" applyAlignment="1">
      <alignment horizontal="center" vertical="center" wrapText="1"/>
    </xf>
    <xf numFmtId="165" fontId="7" fillId="12" borderId="3" xfId="34" applyFill="1" applyBorder="1" applyAlignment="1">
      <alignment horizontal="left"/>
      <protection locked="0"/>
    </xf>
    <xf numFmtId="165" fontId="7" fillId="12" borderId="11" xfId="34" applyFill="1" applyBorder="1" applyAlignment="1">
      <alignment horizontal="left"/>
      <protection locked="0"/>
    </xf>
    <xf numFmtId="165" fontId="7" fillId="12" borderId="7" xfId="34" applyFill="1" applyBorder="1" applyAlignment="1">
      <alignment horizontal="left"/>
      <protection locked="0"/>
    </xf>
    <xf numFmtId="165" fontId="7" fillId="12" borderId="12" xfId="34" applyFill="1" applyBorder="1" applyAlignment="1">
      <alignment horizontal="left"/>
      <protection locked="0"/>
    </xf>
    <xf numFmtId="0" fontId="16" fillId="10" borderId="11" xfId="18" applyBorder="1" applyAlignment="1">
      <alignment horizontal="center" vertical="center" wrapText="1"/>
    </xf>
    <xf numFmtId="0" fontId="16" fillId="10" borderId="7" xfId="18" applyBorder="1" applyAlignment="1">
      <alignment horizontal="center" vertical="center" wrapText="1"/>
    </xf>
    <xf numFmtId="0" fontId="16" fillId="10" borderId="12" xfId="18" applyBorder="1" applyAlignment="1">
      <alignment horizontal="center" vertical="center" wrapText="1"/>
    </xf>
    <xf numFmtId="0" fontId="16" fillId="10" borderId="3" xfId="18" applyBorder="1" applyAlignment="1">
      <alignment horizontal="center" vertical="center" wrapText="1"/>
    </xf>
    <xf numFmtId="0" fontId="16" fillId="10" borderId="11" xfId="18" applyBorder="1" applyAlignment="1">
      <alignment horizontal="left" vertical="center" wrapText="1"/>
    </xf>
    <xf numFmtId="0" fontId="16" fillId="10" borderId="12" xfId="18" applyBorder="1" applyAlignment="1">
      <alignment horizontal="left" vertical="center" wrapText="1"/>
    </xf>
    <xf numFmtId="49" fontId="16" fillId="10" borderId="11" xfId="18" applyNumberFormat="1" applyBorder="1" applyAlignment="1">
      <alignment horizontal="center" vertical="center" wrapText="1"/>
    </xf>
    <xf numFmtId="49" fontId="16" fillId="10" borderId="7" xfId="18" applyNumberFormat="1" applyBorder="1" applyAlignment="1">
      <alignment horizontal="center" vertical="center" wrapText="1"/>
    </xf>
    <xf numFmtId="0" fontId="12" fillId="9" borderId="3" xfId="27" applyFont="1" applyBorder="1" applyAlignment="1">
      <alignment horizontal="left" vertical="top"/>
    </xf>
    <xf numFmtId="0" fontId="12" fillId="11" borderId="3" xfId="0" applyFont="1" applyFill="1" applyBorder="1" applyAlignment="1">
      <alignment horizontal="left" vertical="top"/>
    </xf>
    <xf numFmtId="164" fontId="16" fillId="10" borderId="7" xfId="18" applyNumberFormat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top" wrapText="1"/>
    </xf>
    <xf numFmtId="0" fontId="12" fillId="11" borderId="3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/>
    </xf>
    <xf numFmtId="0" fontId="16" fillId="10" borderId="3" xfId="18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11" borderId="3" xfId="0" applyFont="1" applyFill="1" applyBorder="1" applyAlignment="1">
      <alignment horizontal="left"/>
    </xf>
    <xf numFmtId="0" fontId="12" fillId="11" borderId="11" xfId="0" applyFont="1" applyFill="1" applyBorder="1" applyAlignment="1">
      <alignment horizontal="left"/>
    </xf>
    <xf numFmtId="0" fontId="12" fillId="11" borderId="7" xfId="0" applyFont="1" applyFill="1" applyBorder="1" applyAlignment="1">
      <alignment horizontal="left"/>
    </xf>
    <xf numFmtId="0" fontId="12" fillId="11" borderId="12" xfId="0" applyFont="1" applyFill="1" applyBorder="1" applyAlignment="1">
      <alignment horizontal="left"/>
    </xf>
    <xf numFmtId="0" fontId="16" fillId="29" borderId="11" xfId="18" applyFill="1" applyBorder="1" applyAlignment="1">
      <alignment horizontal="center" vertical="center" wrapText="1"/>
    </xf>
    <xf numFmtId="165" fontId="7" fillId="12" borderId="21" xfId="34" applyFill="1" applyBorder="1" applyAlignment="1">
      <alignment horizontal="left"/>
      <protection locked="0"/>
    </xf>
    <xf numFmtId="165" fontId="7" fillId="12" borderId="22" xfId="34" applyFill="1" applyBorder="1" applyAlignment="1">
      <alignment horizontal="left"/>
      <protection locked="0"/>
    </xf>
    <xf numFmtId="165" fontId="7" fillId="12" borderId="23" xfId="34" applyFill="1" applyBorder="1" applyAlignment="1">
      <alignment horizontal="left"/>
      <protection locked="0"/>
    </xf>
    <xf numFmtId="0" fontId="39" fillId="0" borderId="0" xfId="67" applyFont="1" applyAlignment="1">
      <alignment horizontal="center"/>
    </xf>
    <xf numFmtId="0" fontId="16" fillId="10" borderId="13" xfId="18" applyBorder="1" applyAlignment="1">
      <alignment horizontal="center" vertical="center" wrapText="1"/>
    </xf>
    <xf numFmtId="0" fontId="16" fillId="10" borderId="16" xfId="18" applyBorder="1" applyAlignment="1">
      <alignment horizontal="center" vertical="center" wrapText="1"/>
    </xf>
    <xf numFmtId="171" fontId="12" fillId="30" borderId="0" xfId="23" applyFont="1" applyFill="1"/>
    <xf numFmtId="171" fontId="12" fillId="31" borderId="0" xfId="23" applyFont="1" applyFill="1"/>
    <xf numFmtId="179" fontId="7" fillId="31" borderId="1" xfId="29" applyNumberFormat="1" applyFill="1" applyAlignment="1">
      <alignment horizontal="center"/>
      <protection locked="0"/>
    </xf>
  </cellXfs>
  <cellStyles count="71">
    <cellStyle name="Base_Input" xfId="27" xr:uid="{00000000-0005-0000-0000-000000000000}"/>
    <cellStyle name="Check_Cell" xfId="15" xr:uid="{00000000-0005-0000-0000-000001000000}"/>
    <cellStyle name="Comma" xfId="2" builtinId="3" customBuiltin="1"/>
    <cellStyle name="Comma [0]" xfId="3" builtinId="6" customBuiltin="1"/>
    <cellStyle name="Comma [0] 2" xfId="22" xr:uid="{00000000-0005-0000-0000-000004000000}"/>
    <cellStyle name="Comma 2" xfId="37" xr:uid="{00000000-0005-0000-0000-000005000000}"/>
    <cellStyle name="Comma 3" xfId="64" xr:uid="{00000000-0005-0000-0000-000006000000}"/>
    <cellStyle name="Comma 4" xfId="65" xr:uid="{00000000-0005-0000-0000-000007000000}"/>
    <cellStyle name="Comma 5" xfId="66" xr:uid="{00000000-0005-0000-0000-000008000000}"/>
    <cellStyle name="Comma 6" xfId="68" xr:uid="{00000000-0005-0000-0000-000009000000}"/>
    <cellStyle name="Empty_Cell" xfId="4" xr:uid="{00000000-0005-0000-0000-00000A000000}"/>
    <cellStyle name="Flag" xfId="5" xr:uid="{00000000-0005-0000-0000-00000B000000}"/>
    <cellStyle name="Header1" xfId="23" xr:uid="{00000000-0005-0000-0000-00000C000000}"/>
    <cellStyle name="Header1A" xfId="25" xr:uid="{00000000-0005-0000-0000-00000D000000}"/>
    <cellStyle name="Header2" xfId="6" xr:uid="{00000000-0005-0000-0000-00000E000000}"/>
    <cellStyle name="Header3" xfId="7" xr:uid="{00000000-0005-0000-0000-00000F000000}"/>
    <cellStyle name="Header4" xfId="28" xr:uid="{00000000-0005-0000-0000-000010000000}"/>
    <cellStyle name="Hyperlink" xfId="26" builtinId="8"/>
    <cellStyle name="Insheet" xfId="8" xr:uid="{00000000-0005-0000-0000-000012000000}"/>
    <cellStyle name="Interface" xfId="9" xr:uid="{00000000-0005-0000-0000-000013000000}"/>
    <cellStyle name="K_BannerGrp1" xfId="49" xr:uid="{00000000-0005-0000-0000-000014000000}"/>
    <cellStyle name="K_DateShort" xfId="40" xr:uid="{00000000-0005-0000-0000-000015000000}"/>
    <cellStyle name="K_Number" xfId="39" xr:uid="{00000000-0005-0000-0000-000016000000}"/>
    <cellStyle name="Line_ClosingBal" xfId="10" xr:uid="{00000000-0005-0000-0000-000017000000}"/>
    <cellStyle name="Line_SubTotal" xfId="11" xr:uid="{00000000-0005-0000-0000-000018000000}"/>
    <cellStyle name="Line_Summary" xfId="12" xr:uid="{00000000-0005-0000-0000-000019000000}"/>
    <cellStyle name="Line_Total" xfId="13" xr:uid="{00000000-0005-0000-0000-00001A000000}"/>
    <cellStyle name="Macro_Paste" xfId="14" xr:uid="{00000000-0005-0000-0000-00001B000000}"/>
    <cellStyle name="Normal" xfId="0" builtinId="0" customBuiltin="1"/>
    <cellStyle name="Normal 10" xfId="21" xr:uid="{00000000-0005-0000-0000-00001D000000}"/>
    <cellStyle name="Normal 2" xfId="24" xr:uid="{00000000-0005-0000-0000-00001E000000}"/>
    <cellStyle name="Normal 2 2" xfId="31" xr:uid="{00000000-0005-0000-0000-00001F000000}"/>
    <cellStyle name="Normal 2 2 2" xfId="35" xr:uid="{00000000-0005-0000-0000-000020000000}"/>
    <cellStyle name="Normal 2 3" xfId="33" xr:uid="{00000000-0005-0000-0000-000021000000}"/>
    <cellStyle name="Normal 256" xfId="20" xr:uid="{00000000-0005-0000-0000-000022000000}"/>
    <cellStyle name="Normal 3" xfId="36" xr:uid="{00000000-0005-0000-0000-000023000000}"/>
    <cellStyle name="Normal 4" xfId="67" xr:uid="{00000000-0005-0000-0000-000024000000}"/>
    <cellStyle name="Normal 42" xfId="38" xr:uid="{00000000-0005-0000-0000-000025000000}"/>
    <cellStyle name="Offsheet" xfId="16" xr:uid="{00000000-0005-0000-0000-000026000000}"/>
    <cellStyle name="Percent" xfId="1" builtinId="5" customBuiltin="1"/>
    <cellStyle name="Percent 2" xfId="70" xr:uid="{00000000-0005-0000-0000-000028000000}"/>
    <cellStyle name="Ratio" xfId="17" xr:uid="{00000000-0005-0000-0000-000029000000}"/>
    <cellStyle name="SAPBEXaggData 10" xfId="63" xr:uid="{00000000-0005-0000-0000-00002A000000}"/>
    <cellStyle name="SAPBEXaggData 14" xfId="48" xr:uid="{00000000-0005-0000-0000-00002B000000}"/>
    <cellStyle name="SAPBEXaggData 14 2" xfId="59" xr:uid="{00000000-0005-0000-0000-00002C000000}"/>
    <cellStyle name="SAPBEXaggData 3" xfId="44" xr:uid="{00000000-0005-0000-0000-00002D000000}"/>
    <cellStyle name="SAPBEXaggData 3 2" xfId="55" xr:uid="{00000000-0005-0000-0000-00002E000000}"/>
    <cellStyle name="SAPBEXaggItem 10" xfId="62" xr:uid="{00000000-0005-0000-0000-00002F000000}"/>
    <cellStyle name="SAPBEXaggItem 14" xfId="47" xr:uid="{00000000-0005-0000-0000-000030000000}"/>
    <cellStyle name="SAPBEXaggItem 14 2" xfId="58" xr:uid="{00000000-0005-0000-0000-000031000000}"/>
    <cellStyle name="SAPBEXaggItem 3" xfId="43" xr:uid="{00000000-0005-0000-0000-000032000000}"/>
    <cellStyle name="SAPBEXaggItem 3 2" xfId="54" xr:uid="{00000000-0005-0000-0000-000033000000}"/>
    <cellStyle name="SAPBEXstdData 10" xfId="61" xr:uid="{00000000-0005-0000-0000-000034000000}"/>
    <cellStyle name="SAPBEXstdData 13" xfId="46" xr:uid="{00000000-0005-0000-0000-000035000000}"/>
    <cellStyle name="SAPBEXstdData 13 2" xfId="57" xr:uid="{00000000-0005-0000-0000-000036000000}"/>
    <cellStyle name="SAPBEXstdData 3" xfId="42" xr:uid="{00000000-0005-0000-0000-000037000000}"/>
    <cellStyle name="SAPBEXstdData 3 2" xfId="53" xr:uid="{00000000-0005-0000-0000-000038000000}"/>
    <cellStyle name="SAPBEXstdData 9" xfId="50" xr:uid="{00000000-0005-0000-0000-000039000000}"/>
    <cellStyle name="SAPBEXstdItem 10" xfId="60" xr:uid="{00000000-0005-0000-0000-00003A000000}"/>
    <cellStyle name="SAPBEXstdItem 13" xfId="45" xr:uid="{00000000-0005-0000-0000-00003B000000}"/>
    <cellStyle name="SAPBEXstdItem 13 2" xfId="56" xr:uid="{00000000-0005-0000-0000-00003C000000}"/>
    <cellStyle name="SAPBEXstdItem 3" xfId="41" xr:uid="{00000000-0005-0000-0000-00003D000000}"/>
    <cellStyle name="SAPBEXstdItem 3 2" xfId="52" xr:uid="{00000000-0005-0000-0000-00003E000000}"/>
    <cellStyle name="SAPBEXstdItem 9" xfId="51" xr:uid="{00000000-0005-0000-0000-00003F000000}"/>
    <cellStyle name="Table_Heading" xfId="18" xr:uid="{00000000-0005-0000-0000-000040000000}"/>
    <cellStyle name="Technical_Input" xfId="32" xr:uid="{00000000-0005-0000-0000-000041000000}"/>
    <cellStyle name="Unit" xfId="19" xr:uid="{00000000-0005-0000-0000-000042000000}"/>
    <cellStyle name="User_Input_A" xfId="69" xr:uid="{00000000-0005-0000-0000-000043000000}"/>
    <cellStyle name="User_Input_Actual" xfId="29" xr:uid="{00000000-0005-0000-0000-000044000000}"/>
    <cellStyle name="User_Input_Actual 2" xfId="34" xr:uid="{00000000-0005-0000-0000-000045000000}"/>
    <cellStyle name="User_Input_Forecast" xfId="30" xr:uid="{00000000-0005-0000-0000-000046000000}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66FF33"/>
      <color rgb="FF00FF00"/>
      <color rgb="FFFFFFCC"/>
      <color rgb="FFFF3300"/>
      <color rgb="FF699FCE"/>
      <color rgb="FF243B87"/>
      <color rgb="FFF1B3AD"/>
      <color rgb="FFDB3F32"/>
      <color rgb="FFC3C3C5"/>
      <color rgb="FF797A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0</xdr:row>
      <xdr:rowOff>104775</xdr:rowOff>
    </xdr:from>
    <xdr:to>
      <xdr:col>5</xdr:col>
      <xdr:colOff>228601</xdr:colOff>
      <xdr:row>2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5" y="104775"/>
          <a:ext cx="1114426" cy="400051"/>
        </a:xfrm>
        <a:prstGeom prst="rect">
          <a:avLst/>
        </a:prstGeom>
      </xdr:spPr>
    </xdr:pic>
    <xdr:clientData/>
  </xdr:twoCellAnchor>
  <xdr:twoCellAnchor>
    <xdr:from>
      <xdr:col>5</xdr:col>
      <xdr:colOff>257175</xdr:colOff>
      <xdr:row>1</xdr:row>
      <xdr:rowOff>0</xdr:rowOff>
    </xdr:from>
    <xdr:to>
      <xdr:col>6</xdr:col>
      <xdr:colOff>486778</xdr:colOff>
      <xdr:row>2</xdr:row>
      <xdr:rowOff>73392</xdr:rowOff>
    </xdr:to>
    <xdr:pic>
      <xdr:nvPicPr>
        <xdr:cNvPr id="3" name="Picture 2" descr="cid:image003.png@01D36205.0B9159F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61925"/>
          <a:ext cx="839203" cy="368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</sheetPr>
  <dimension ref="A1:N50"/>
  <sheetViews>
    <sheetView workbookViewId="0">
      <selection activeCell="J2" sqref="J2"/>
    </sheetView>
  </sheetViews>
  <sheetFormatPr defaultColWidth="0" defaultRowHeight="12.75" zeroHeight="1" x14ac:dyDescent="0.2"/>
  <cols>
    <col min="1" max="1" width="5.7109375" customWidth="1"/>
    <col min="2" max="3" width="9.140625" customWidth="1"/>
    <col min="4" max="4" width="13.140625" customWidth="1"/>
    <col min="5" max="14" width="9.140625" customWidth="1"/>
    <col min="15" max="16384" width="9.140625" hidden="1"/>
  </cols>
  <sheetData>
    <row r="1" spans="1:14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3.25" x14ac:dyDescent="0.35">
      <c r="A2" s="4"/>
      <c r="B2" s="5" t="s">
        <v>1</v>
      </c>
      <c r="C2" s="6"/>
      <c r="D2" s="6"/>
      <c r="E2" s="6"/>
      <c r="F2" s="6"/>
      <c r="G2" s="4"/>
      <c r="H2" s="30" t="s">
        <v>39</v>
      </c>
      <c r="I2" s="4"/>
      <c r="J2" s="4"/>
      <c r="K2" s="4"/>
      <c r="L2" s="4"/>
      <c r="M2" s="4"/>
      <c r="N2" s="4"/>
    </row>
    <row r="3" spans="1:14" x14ac:dyDescent="0.2">
      <c r="A3" s="4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</row>
    <row r="4" spans="1:14" x14ac:dyDescent="0.2">
      <c r="A4" s="4"/>
      <c r="B4" s="6"/>
      <c r="C4" s="6"/>
      <c r="D4" s="6"/>
      <c r="E4" s="6"/>
      <c r="F4" s="6"/>
      <c r="G4" s="4"/>
      <c r="H4" s="4"/>
      <c r="I4" s="4"/>
      <c r="J4" s="4"/>
      <c r="K4" s="4"/>
      <c r="L4" s="4"/>
      <c r="M4" s="4"/>
      <c r="N4" s="4"/>
    </row>
    <row r="5" spans="1:14" x14ac:dyDescent="0.2">
      <c r="A5" s="4"/>
      <c r="B5" s="6"/>
      <c r="C5" s="6"/>
      <c r="D5" s="6"/>
      <c r="E5" s="6"/>
      <c r="F5" s="6"/>
      <c r="G5" s="4"/>
      <c r="H5" s="4"/>
      <c r="I5" s="4"/>
      <c r="J5" s="4"/>
      <c r="K5" s="4"/>
      <c r="L5" s="4"/>
      <c r="M5" s="4"/>
      <c r="N5" s="4"/>
    </row>
    <row r="6" spans="1:14" ht="15.75" thickBot="1" x14ac:dyDescent="0.3">
      <c r="A6" s="4"/>
      <c r="B6" s="7" t="s">
        <v>2</v>
      </c>
      <c r="C6" s="8"/>
      <c r="D6" s="7" t="s">
        <v>3</v>
      </c>
      <c r="E6" s="8"/>
      <c r="F6" s="7" t="s">
        <v>0</v>
      </c>
      <c r="G6" s="4"/>
      <c r="H6" s="4"/>
      <c r="I6" s="4"/>
      <c r="J6" s="4"/>
      <c r="K6" s="4"/>
      <c r="L6" s="4"/>
      <c r="M6" s="4"/>
      <c r="N6" s="4"/>
    </row>
    <row r="7" spans="1:14" x14ac:dyDescent="0.2">
      <c r="A7" s="4"/>
      <c r="B7" s="6"/>
      <c r="C7" s="6"/>
      <c r="D7" s="6"/>
      <c r="E7" s="6"/>
      <c r="F7" s="6"/>
      <c r="G7" s="4"/>
      <c r="H7" s="4"/>
      <c r="I7" s="4"/>
      <c r="J7" s="4"/>
      <c r="K7" s="4"/>
      <c r="L7" s="4"/>
      <c r="M7" s="4"/>
      <c r="N7" s="4"/>
    </row>
    <row r="8" spans="1:14" ht="18" x14ac:dyDescent="0.25">
      <c r="A8" s="4"/>
      <c r="B8" s="6" t="s">
        <v>4</v>
      </c>
      <c r="C8" s="6"/>
      <c r="D8" s="26" t="s">
        <v>4</v>
      </c>
      <c r="E8" s="6"/>
      <c r="F8" s="6"/>
      <c r="G8" s="4"/>
      <c r="H8" s="4"/>
      <c r="I8" s="4"/>
      <c r="J8" s="4"/>
      <c r="K8" s="4"/>
      <c r="L8" s="4"/>
      <c r="M8" s="4"/>
      <c r="N8" s="4"/>
    </row>
    <row r="9" spans="1:14" x14ac:dyDescent="0.2">
      <c r="A9" s="4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</row>
    <row r="10" spans="1:14" ht="15.75" x14ac:dyDescent="0.25">
      <c r="A10" s="4"/>
      <c r="B10" s="6" t="s">
        <v>180</v>
      </c>
      <c r="C10" s="6"/>
      <c r="D10" s="28" t="s">
        <v>180</v>
      </c>
      <c r="E10" s="6"/>
      <c r="F10" s="6"/>
      <c r="G10" s="4"/>
      <c r="H10" s="4"/>
      <c r="I10" s="4"/>
      <c r="J10" s="4"/>
      <c r="K10" s="4"/>
      <c r="L10" s="4"/>
      <c r="M10" s="4"/>
      <c r="N10" s="4"/>
    </row>
    <row r="11" spans="1:14" x14ac:dyDescent="0.2">
      <c r="A11" s="4"/>
      <c r="B11" s="6"/>
      <c r="C11" s="6"/>
      <c r="D11" s="6"/>
      <c r="E11" s="6"/>
      <c r="F11" s="6"/>
      <c r="G11" s="4"/>
      <c r="H11" s="4"/>
      <c r="I11" s="4"/>
      <c r="J11" s="4"/>
      <c r="K11" s="4"/>
      <c r="L11" s="4"/>
      <c r="M11" s="4"/>
      <c r="N11" s="4"/>
    </row>
    <row r="12" spans="1:14" x14ac:dyDescent="0.2">
      <c r="A12" s="4"/>
      <c r="B12" s="6" t="s">
        <v>5</v>
      </c>
      <c r="C12" s="6"/>
      <c r="D12" s="9" t="s">
        <v>5</v>
      </c>
      <c r="E12" s="6"/>
      <c r="F12" s="6"/>
      <c r="G12" s="4"/>
      <c r="H12" s="4"/>
      <c r="I12" s="4"/>
      <c r="J12" s="4"/>
      <c r="K12" s="4"/>
      <c r="L12" s="4"/>
      <c r="M12" s="4"/>
      <c r="N12" s="4"/>
    </row>
    <row r="13" spans="1:14" x14ac:dyDescent="0.2">
      <c r="A13" s="4"/>
      <c r="B13" s="6"/>
      <c r="C13" s="6"/>
      <c r="D13" s="6"/>
      <c r="E13" s="6"/>
      <c r="F13" s="6"/>
      <c r="G13" s="4"/>
      <c r="H13" s="4"/>
      <c r="I13" s="4"/>
      <c r="J13" s="4"/>
      <c r="K13" s="4"/>
      <c r="L13" s="4"/>
      <c r="M13" s="4"/>
      <c r="N13" s="4"/>
    </row>
    <row r="14" spans="1:14" x14ac:dyDescent="0.2">
      <c r="A14" s="4"/>
      <c r="B14" s="6" t="s">
        <v>6</v>
      </c>
      <c r="C14" s="6"/>
      <c r="D14" s="10" t="s">
        <v>6</v>
      </c>
      <c r="E14" s="6"/>
      <c r="F14" s="6"/>
      <c r="G14" s="4"/>
      <c r="H14" s="4"/>
      <c r="I14" s="4"/>
      <c r="J14" s="4"/>
      <c r="K14" s="4"/>
      <c r="L14" s="4"/>
      <c r="M14" s="4"/>
      <c r="N14" s="4"/>
    </row>
    <row r="15" spans="1:14" x14ac:dyDescent="0.2">
      <c r="A15" s="4"/>
      <c r="B15" s="6"/>
      <c r="C15" s="6"/>
      <c r="D15" s="6"/>
      <c r="E15" s="6"/>
      <c r="F15" s="6"/>
      <c r="G15" s="4"/>
      <c r="H15" s="4"/>
      <c r="I15" s="4"/>
      <c r="J15" s="4"/>
      <c r="K15" s="4"/>
      <c r="L15" s="4"/>
      <c r="M15" s="4"/>
      <c r="N15" s="4"/>
    </row>
    <row r="16" spans="1:14" x14ac:dyDescent="0.2">
      <c r="A16" s="4"/>
      <c r="B16" s="6" t="s">
        <v>7</v>
      </c>
      <c r="C16" s="6"/>
      <c r="D16" s="11" t="s">
        <v>7</v>
      </c>
      <c r="E16" s="6"/>
      <c r="F16" s="6"/>
      <c r="G16" s="4"/>
      <c r="H16" s="4"/>
      <c r="I16" s="4"/>
      <c r="J16" s="4"/>
      <c r="K16" s="4"/>
      <c r="L16" s="4"/>
      <c r="M16" s="4"/>
      <c r="N16" s="4"/>
    </row>
    <row r="17" spans="1:14" x14ac:dyDescent="0.2">
      <c r="A17" s="4"/>
      <c r="B17" s="6"/>
      <c r="C17" s="6"/>
      <c r="D17" s="6"/>
      <c r="E17" s="6"/>
      <c r="F17" s="6"/>
      <c r="G17" s="4"/>
      <c r="H17" s="4"/>
      <c r="I17" s="4"/>
      <c r="J17" s="4"/>
      <c r="K17" s="4"/>
      <c r="L17" s="4"/>
      <c r="M17" s="4"/>
      <c r="N17" s="4"/>
    </row>
    <row r="18" spans="1:14" ht="14.25" x14ac:dyDescent="0.2">
      <c r="A18" s="4"/>
      <c r="B18" s="62" t="s">
        <v>181</v>
      </c>
      <c r="C18" s="6"/>
      <c r="D18" s="63">
        <v>100</v>
      </c>
      <c r="E18" s="6"/>
      <c r="F18" s="12" t="s">
        <v>182</v>
      </c>
      <c r="G18" s="4"/>
      <c r="H18" s="4"/>
      <c r="I18" s="4"/>
      <c r="J18" s="4"/>
      <c r="K18" s="4"/>
      <c r="L18" s="4"/>
      <c r="M18" s="4"/>
      <c r="N18" s="4"/>
    </row>
    <row r="19" spans="1:14" s="60" customFormat="1" ht="14.25" x14ac:dyDescent="0.2">
      <c r="A19" s="4"/>
      <c r="B19" s="62"/>
      <c r="C19" s="6"/>
      <c r="D19" s="13"/>
      <c r="E19" s="6"/>
      <c r="F19" s="12"/>
      <c r="G19" s="4"/>
      <c r="H19" s="4"/>
      <c r="I19" s="4"/>
      <c r="J19" s="4"/>
      <c r="K19" s="4"/>
      <c r="L19" s="4"/>
      <c r="M19" s="4"/>
      <c r="N19" s="4"/>
    </row>
    <row r="20" spans="1:14" s="60" customFormat="1" ht="14.25" x14ac:dyDescent="0.2">
      <c r="A20" s="4"/>
      <c r="B20" s="62" t="s">
        <v>183</v>
      </c>
      <c r="C20" s="6"/>
      <c r="D20" s="64">
        <v>100</v>
      </c>
      <c r="E20" s="6"/>
      <c r="F20" s="12" t="s">
        <v>184</v>
      </c>
      <c r="G20" s="4"/>
      <c r="H20" s="4"/>
      <c r="I20" s="4"/>
      <c r="J20" s="4"/>
      <c r="K20" s="4"/>
      <c r="L20" s="4"/>
      <c r="M20" s="4"/>
      <c r="N20" s="4"/>
    </row>
    <row r="21" spans="1:14" x14ac:dyDescent="0.2">
      <c r="A21" s="4"/>
      <c r="B21" s="6"/>
      <c r="C21" s="6"/>
      <c r="D21" s="6"/>
      <c r="E21" s="6"/>
      <c r="F21" s="6"/>
      <c r="G21" s="4"/>
      <c r="H21" s="4"/>
      <c r="I21" s="4"/>
      <c r="J21" s="4"/>
      <c r="K21" s="4"/>
      <c r="L21" s="4"/>
      <c r="M21" s="4"/>
      <c r="N21" s="4"/>
    </row>
    <row r="22" spans="1:14" ht="14.25" x14ac:dyDescent="0.2">
      <c r="A22" s="4"/>
      <c r="B22" s="6" t="s">
        <v>8</v>
      </c>
      <c r="C22" s="6"/>
      <c r="D22" s="59">
        <v>100</v>
      </c>
      <c r="E22" s="6"/>
      <c r="F22" s="12" t="s">
        <v>9</v>
      </c>
      <c r="G22" s="4"/>
      <c r="H22" s="4"/>
      <c r="I22" s="4"/>
      <c r="J22" s="4"/>
      <c r="K22" s="4"/>
      <c r="L22" s="4"/>
      <c r="M22" s="4"/>
      <c r="N22" s="4"/>
    </row>
    <row r="23" spans="1:14" x14ac:dyDescent="0.2">
      <c r="A23" s="4"/>
      <c r="B23" s="6"/>
      <c r="C23" s="6"/>
      <c r="D23" s="6"/>
      <c r="E23" s="6"/>
      <c r="F23" s="6"/>
      <c r="G23" s="4"/>
      <c r="H23" s="4"/>
      <c r="I23" s="4"/>
      <c r="J23" s="4"/>
      <c r="K23" s="4"/>
      <c r="L23" s="4"/>
      <c r="M23" s="4"/>
      <c r="N23" s="4"/>
    </row>
    <row r="24" spans="1:14" ht="14.25" x14ac:dyDescent="0.2">
      <c r="A24" s="4"/>
      <c r="B24" s="6" t="s">
        <v>10</v>
      </c>
      <c r="C24" s="6"/>
      <c r="D24" s="14"/>
      <c r="E24" s="6"/>
      <c r="F24" s="12" t="s">
        <v>11</v>
      </c>
      <c r="G24" s="4"/>
      <c r="H24" s="4"/>
      <c r="I24" s="4"/>
      <c r="J24" s="4"/>
      <c r="K24" s="4"/>
      <c r="L24" s="4"/>
      <c r="M24" s="4"/>
      <c r="N24" s="4"/>
    </row>
    <row r="25" spans="1:14" ht="14.25" x14ac:dyDescent="0.2">
      <c r="A25" s="4"/>
      <c r="B25" s="6"/>
      <c r="C25" s="6"/>
      <c r="D25" s="13"/>
      <c r="E25" s="6"/>
      <c r="F25" s="15"/>
      <c r="G25" s="4"/>
      <c r="H25" s="4"/>
      <c r="I25" s="4"/>
      <c r="J25" s="4"/>
      <c r="K25" s="4"/>
      <c r="L25" s="4"/>
      <c r="M25" s="4"/>
      <c r="N25" s="4"/>
    </row>
    <row r="26" spans="1:14" ht="14.25" x14ac:dyDescent="0.2">
      <c r="A26" s="4"/>
      <c r="B26" s="6" t="s">
        <v>12</v>
      </c>
      <c r="C26" s="6"/>
      <c r="D26" s="16">
        <v>100</v>
      </c>
      <c r="E26" s="6"/>
      <c r="F26" s="12" t="s">
        <v>13</v>
      </c>
      <c r="G26" s="4"/>
      <c r="H26" s="4"/>
      <c r="I26" s="4"/>
      <c r="J26" s="4"/>
      <c r="K26" s="4"/>
      <c r="L26" s="4"/>
      <c r="M26" s="4"/>
      <c r="N26" s="4"/>
    </row>
    <row r="27" spans="1:14" ht="14.25" x14ac:dyDescent="0.2">
      <c r="A27" s="4"/>
      <c r="B27" s="6"/>
      <c r="C27" s="6"/>
      <c r="D27" s="13"/>
      <c r="E27" s="6"/>
      <c r="F27" s="15"/>
      <c r="G27" s="4"/>
      <c r="H27" s="4"/>
      <c r="I27" s="4"/>
      <c r="J27" s="4"/>
      <c r="K27" s="4"/>
      <c r="L27" s="4"/>
      <c r="M27" s="4"/>
      <c r="N27" s="4"/>
    </row>
    <row r="28" spans="1:14" ht="14.25" x14ac:dyDescent="0.2">
      <c r="A28" s="4"/>
      <c r="B28" s="6" t="s">
        <v>14</v>
      </c>
      <c r="C28" s="6"/>
      <c r="D28" s="17">
        <v>100</v>
      </c>
      <c r="E28" s="6"/>
      <c r="F28" s="12" t="s">
        <v>15</v>
      </c>
      <c r="G28" s="4"/>
      <c r="H28" s="4"/>
      <c r="I28" s="4"/>
      <c r="J28" s="4"/>
      <c r="K28" s="4"/>
      <c r="L28" s="4"/>
      <c r="M28" s="4"/>
      <c r="N28" s="4"/>
    </row>
    <row r="29" spans="1:14" ht="14.25" x14ac:dyDescent="0.2">
      <c r="A29" s="4"/>
      <c r="B29" s="6"/>
      <c r="C29" s="6"/>
      <c r="D29" s="13"/>
      <c r="E29" s="6"/>
      <c r="F29" s="15"/>
      <c r="G29" s="4"/>
      <c r="H29" s="4"/>
      <c r="I29" s="4"/>
      <c r="J29" s="4"/>
      <c r="K29" s="4"/>
      <c r="L29" s="4"/>
      <c r="M29" s="4"/>
      <c r="N29" s="4"/>
    </row>
    <row r="30" spans="1:14" ht="14.25" x14ac:dyDescent="0.2">
      <c r="A30" s="4"/>
      <c r="B30" s="6" t="s">
        <v>16</v>
      </c>
      <c r="C30" s="6"/>
      <c r="D30" s="18">
        <v>100</v>
      </c>
      <c r="E30" s="6"/>
      <c r="F30" s="12" t="s">
        <v>17</v>
      </c>
      <c r="G30" s="4"/>
      <c r="H30" s="4"/>
      <c r="I30" s="4"/>
      <c r="J30" s="4"/>
      <c r="K30" s="4"/>
      <c r="L30" s="4"/>
      <c r="M30" s="4"/>
      <c r="N30" s="4"/>
    </row>
    <row r="31" spans="1:14" ht="14.25" x14ac:dyDescent="0.2">
      <c r="A31" s="4"/>
      <c r="B31" s="6"/>
      <c r="C31" s="6"/>
      <c r="D31" s="6"/>
      <c r="E31" s="6"/>
      <c r="F31" s="15"/>
      <c r="G31" s="4"/>
      <c r="H31" s="4"/>
      <c r="I31" s="4"/>
      <c r="J31" s="4"/>
      <c r="K31" s="4"/>
      <c r="L31" s="4"/>
      <c r="M31" s="4"/>
      <c r="N31" s="4"/>
    </row>
    <row r="32" spans="1:14" ht="14.25" x14ac:dyDescent="0.2">
      <c r="A32" s="4"/>
      <c r="B32" s="6" t="s">
        <v>18</v>
      </c>
      <c r="C32" s="6"/>
      <c r="D32" s="19">
        <v>100</v>
      </c>
      <c r="E32" s="6"/>
      <c r="F32" s="12" t="s">
        <v>19</v>
      </c>
      <c r="G32" s="4"/>
      <c r="H32" s="4"/>
      <c r="I32" s="4"/>
      <c r="J32" s="4"/>
      <c r="K32" s="4"/>
      <c r="L32" s="4"/>
      <c r="M32" s="4"/>
      <c r="N32" s="4"/>
    </row>
    <row r="33" spans="1:14" ht="14.25" x14ac:dyDescent="0.2">
      <c r="A33" s="4"/>
      <c r="B33" s="6"/>
      <c r="C33" s="6"/>
      <c r="D33" s="6"/>
      <c r="E33" s="6"/>
      <c r="F33" s="15"/>
      <c r="G33" s="4"/>
      <c r="H33" s="4"/>
      <c r="I33" s="4"/>
      <c r="J33" s="4"/>
      <c r="K33" s="4"/>
      <c r="L33" s="4"/>
      <c r="M33" s="4"/>
      <c r="N33" s="4"/>
    </row>
    <row r="34" spans="1:14" ht="14.25" x14ac:dyDescent="0.2">
      <c r="A34" s="4"/>
      <c r="B34" s="6" t="s">
        <v>20</v>
      </c>
      <c r="C34" s="6"/>
      <c r="D34" s="20" t="s">
        <v>21</v>
      </c>
      <c r="E34" s="6"/>
      <c r="F34" s="12" t="s">
        <v>22</v>
      </c>
      <c r="G34" s="4"/>
      <c r="H34" s="4"/>
      <c r="I34" s="4"/>
      <c r="J34" s="4"/>
      <c r="K34" s="4"/>
      <c r="L34" s="4"/>
      <c r="M34" s="4"/>
      <c r="N34" s="4"/>
    </row>
    <row r="35" spans="1:14" ht="14.25" x14ac:dyDescent="0.2">
      <c r="A35" s="4"/>
      <c r="B35" s="6"/>
      <c r="C35" s="6"/>
      <c r="D35" s="6"/>
      <c r="E35" s="6"/>
      <c r="F35" s="15"/>
      <c r="G35" s="4"/>
      <c r="H35" s="4"/>
      <c r="I35" s="4"/>
      <c r="J35" s="4"/>
      <c r="K35" s="4"/>
      <c r="L35" s="4"/>
      <c r="M35" s="4"/>
      <c r="N35" s="4"/>
    </row>
    <row r="36" spans="1:14" ht="14.25" x14ac:dyDescent="0.2">
      <c r="A36" s="4"/>
      <c r="B36" s="6" t="s">
        <v>23</v>
      </c>
      <c r="C36" s="6"/>
      <c r="D36" s="21">
        <v>100</v>
      </c>
      <c r="E36" s="6"/>
      <c r="F36" s="12" t="s">
        <v>24</v>
      </c>
      <c r="G36" s="4"/>
      <c r="H36" s="4"/>
      <c r="I36" s="4"/>
      <c r="J36" s="4"/>
      <c r="K36" s="4"/>
      <c r="L36" s="4"/>
      <c r="M36" s="4"/>
      <c r="N36" s="4"/>
    </row>
    <row r="37" spans="1:14" ht="14.25" x14ac:dyDescent="0.2">
      <c r="A37" s="4"/>
      <c r="B37" s="6"/>
      <c r="C37" s="6"/>
      <c r="D37" s="13"/>
      <c r="E37" s="6"/>
      <c r="F37" s="15"/>
      <c r="G37" s="4"/>
      <c r="H37" s="4"/>
      <c r="I37" s="4"/>
      <c r="J37" s="4"/>
      <c r="K37" s="4"/>
      <c r="L37" s="4"/>
      <c r="M37" s="4"/>
      <c r="N37" s="4"/>
    </row>
    <row r="38" spans="1:14" ht="14.25" x14ac:dyDescent="0.2">
      <c r="A38" s="4"/>
      <c r="B38" s="6" t="s">
        <v>25</v>
      </c>
      <c r="C38" s="6"/>
      <c r="D38" s="3" t="s">
        <v>26</v>
      </c>
      <c r="E38" s="6"/>
      <c r="F38" s="12" t="s">
        <v>27</v>
      </c>
      <c r="G38" s="4"/>
      <c r="H38" s="4"/>
      <c r="I38" s="4"/>
      <c r="J38" s="4"/>
      <c r="K38" s="4"/>
      <c r="L38" s="4"/>
      <c r="M38" s="4"/>
      <c r="N38" s="4"/>
    </row>
    <row r="39" spans="1:14" ht="14.25" x14ac:dyDescent="0.2">
      <c r="A39" s="4"/>
      <c r="B39" s="6"/>
      <c r="C39" s="6"/>
      <c r="D39" s="13"/>
      <c r="E39" s="6"/>
      <c r="F39" s="15"/>
      <c r="G39" s="4"/>
      <c r="H39" s="4"/>
      <c r="I39" s="4"/>
      <c r="J39" s="4"/>
      <c r="K39" s="4"/>
      <c r="L39" s="4"/>
      <c r="M39" s="4"/>
      <c r="N39" s="4"/>
    </row>
    <row r="40" spans="1:14" ht="14.25" x14ac:dyDescent="0.2">
      <c r="A40" s="4"/>
      <c r="B40" s="6" t="s">
        <v>28</v>
      </c>
      <c r="C40" s="6"/>
      <c r="D40" s="22">
        <v>1</v>
      </c>
      <c r="E40" s="6"/>
      <c r="F40" s="12" t="s">
        <v>29</v>
      </c>
      <c r="G40" s="4"/>
      <c r="H40" s="4"/>
      <c r="I40" s="4"/>
      <c r="J40" s="4"/>
      <c r="K40" s="4"/>
      <c r="L40" s="4"/>
      <c r="M40" s="4"/>
      <c r="N40" s="4"/>
    </row>
    <row r="41" spans="1:14" ht="14.25" x14ac:dyDescent="0.2">
      <c r="A41" s="4"/>
      <c r="B41" s="6"/>
      <c r="C41" s="6"/>
      <c r="D41" s="23"/>
      <c r="E41" s="6"/>
      <c r="F41" s="12"/>
      <c r="G41" s="4"/>
      <c r="H41" s="4"/>
      <c r="I41" s="4"/>
      <c r="J41" s="4"/>
      <c r="K41" s="4"/>
      <c r="L41" s="4"/>
      <c r="M41" s="4"/>
      <c r="N41" s="4"/>
    </row>
    <row r="42" spans="1:14" ht="14.25" x14ac:dyDescent="0.2">
      <c r="A42" s="4"/>
      <c r="B42" s="6" t="s">
        <v>30</v>
      </c>
      <c r="C42" s="6"/>
      <c r="D42" s="24">
        <v>100</v>
      </c>
      <c r="E42" s="6"/>
      <c r="F42" s="12" t="s">
        <v>31</v>
      </c>
      <c r="G42" s="4"/>
      <c r="H42" s="4"/>
      <c r="I42" s="4"/>
      <c r="J42" s="4"/>
      <c r="K42" s="4"/>
      <c r="L42" s="4"/>
      <c r="M42" s="4"/>
      <c r="N42" s="4"/>
    </row>
    <row r="43" spans="1:14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ht="14.25" x14ac:dyDescent="0.2">
      <c r="A44" s="4"/>
      <c r="B44" s="4" t="s">
        <v>278</v>
      </c>
      <c r="C44" s="4"/>
      <c r="D44" s="118">
        <v>100</v>
      </c>
      <c r="E44" s="4"/>
      <c r="F44" s="12" t="s">
        <v>279</v>
      </c>
      <c r="G44" s="4"/>
      <c r="H44" s="4"/>
      <c r="I44" s="4"/>
      <c r="J44" s="4"/>
      <c r="K44" s="4"/>
      <c r="L44" s="4"/>
      <c r="M44" s="4"/>
      <c r="N44" s="4"/>
    </row>
    <row r="45" spans="1:14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ht="14.25" x14ac:dyDescent="0.2">
      <c r="A46" s="4"/>
      <c r="B46" s="4"/>
      <c r="C46" s="4"/>
      <c r="D46" s="231">
        <v>100</v>
      </c>
      <c r="E46" s="143"/>
      <c r="F46" s="12" t="s">
        <v>352</v>
      </c>
      <c r="G46" s="4"/>
      <c r="H46" s="4"/>
      <c r="I46" s="4"/>
      <c r="J46" s="4"/>
      <c r="K46" s="4"/>
      <c r="L46" s="4"/>
      <c r="M46" s="4"/>
      <c r="N46" s="4"/>
    </row>
    <row r="47" spans="1:14" x14ac:dyDescent="0.2">
      <c r="A47" s="4"/>
      <c r="B47" s="4"/>
      <c r="C47" s="4"/>
      <c r="D47" s="162"/>
      <c r="E47" s="143"/>
      <c r="F47" s="143"/>
      <c r="G47" s="4"/>
      <c r="H47" s="4"/>
      <c r="I47" s="4"/>
      <c r="J47" s="4"/>
      <c r="K47" s="4"/>
      <c r="L47" s="4"/>
      <c r="M47" s="4"/>
      <c r="N47" s="4"/>
    </row>
    <row r="48" spans="1:14" ht="14.25" x14ac:dyDescent="0.2">
      <c r="A48" s="4"/>
      <c r="B48" s="4"/>
      <c r="C48" s="4"/>
      <c r="D48" s="232">
        <v>100</v>
      </c>
      <c r="E48" s="143"/>
      <c r="F48" s="12" t="s">
        <v>353</v>
      </c>
      <c r="G48" s="4"/>
      <c r="H48" s="4"/>
      <c r="I48" s="4"/>
      <c r="J48" s="4"/>
      <c r="K48" s="4"/>
      <c r="L48" s="4"/>
      <c r="M48" s="4"/>
      <c r="N48" s="4"/>
    </row>
    <row r="49" spans="1:14" x14ac:dyDescent="0.2">
      <c r="A49" s="4"/>
      <c r="B49" s="4"/>
      <c r="C49" s="4"/>
      <c r="D49" s="143"/>
      <c r="E49" s="143"/>
      <c r="F49" s="143"/>
      <c r="G49" s="4"/>
      <c r="H49" s="4"/>
      <c r="I49" s="4"/>
      <c r="J49" s="4"/>
      <c r="K49" s="4"/>
      <c r="L49" s="4"/>
      <c r="M49" s="4"/>
      <c r="N49" s="4"/>
    </row>
    <row r="50" spans="1:14" ht="14.25" x14ac:dyDescent="0.2">
      <c r="A50" s="4"/>
      <c r="B50" s="4"/>
      <c r="C50" s="4"/>
      <c r="D50" s="233">
        <v>100</v>
      </c>
      <c r="E50" s="143"/>
      <c r="F50" s="12" t="s">
        <v>354</v>
      </c>
      <c r="G50" s="4"/>
      <c r="H50" s="4"/>
      <c r="I50" s="4"/>
      <c r="J50" s="4"/>
      <c r="K50" s="4"/>
      <c r="L50" s="4"/>
      <c r="M50" s="4"/>
      <c r="N50" s="4"/>
    </row>
  </sheetData>
  <hyperlinks>
    <hyperlink ref="H2" location="Menu!A1" display="Menu" xr:uid="{00000000-0004-0000-0000-000000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tabColor rgb="FFFF0000"/>
  </sheetPr>
  <dimension ref="A1:Q110"/>
  <sheetViews>
    <sheetView workbookViewId="0"/>
  </sheetViews>
  <sheetFormatPr defaultColWidth="0" defaultRowHeight="12.75" zeroHeight="1" x14ac:dyDescent="0.2"/>
  <cols>
    <col min="1" max="1" width="3.7109375" style="60" customWidth="1"/>
    <col min="2" max="2" width="55.85546875" style="60" customWidth="1"/>
    <col min="3" max="3" width="16.5703125" style="60" customWidth="1"/>
    <col min="4" max="4" width="3.7109375" style="60" customWidth="1"/>
    <col min="5" max="11" width="9.140625" style="60" hidden="1" customWidth="1"/>
    <col min="12" max="12" width="12" style="60" hidden="1" customWidth="1"/>
    <col min="13" max="13" width="3.7109375" style="60" hidden="1" customWidth="1"/>
    <col min="14" max="16" width="9.140625" style="60" hidden="1" customWidth="1"/>
    <col min="17" max="17" width="3.7109375" style="60" hidden="1" customWidth="1"/>
    <col min="18" max="16384" width="9.140625" style="60" hidden="1"/>
  </cols>
  <sheetData>
    <row r="1" spans="1:15" ht="18" x14ac:dyDescent="0.25">
      <c r="A1" s="26" t="str">
        <f>Menu!A1</f>
        <v>CitiPower - Connections</v>
      </c>
      <c r="B1" s="26"/>
      <c r="C1" s="30" t="s">
        <v>39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5.75" x14ac:dyDescent="0.25">
      <c r="A2" s="196" t="str">
        <f ca="1">RIGHT(CELL("filename", $A$1), LEN(CELL("filename", $A$1)) - SEARCH("]", CELL("filename", $A$1)))</f>
        <v>Unit Rates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">
      <c r="A3" s="4"/>
      <c r="B3" s="4"/>
      <c r="C3" s="4"/>
      <c r="D3" s="4"/>
      <c r="E3" s="4"/>
      <c r="F3" s="143"/>
      <c r="G3" s="143"/>
      <c r="H3" s="143"/>
      <c r="I3" s="143"/>
      <c r="J3" s="143"/>
      <c r="K3" s="143"/>
      <c r="L3" s="143"/>
      <c r="M3" s="4"/>
      <c r="N3" s="4"/>
      <c r="O3" s="4"/>
    </row>
    <row r="4" spans="1:15" x14ac:dyDescent="0.2">
      <c r="A4" s="4"/>
      <c r="B4" s="34" t="s">
        <v>229</v>
      </c>
      <c r="C4" s="4"/>
      <c r="D4" s="4"/>
      <c r="E4" s="4"/>
      <c r="F4" s="143"/>
      <c r="G4" s="143"/>
      <c r="H4" s="143"/>
      <c r="I4" s="143"/>
      <c r="J4" s="143"/>
      <c r="K4" s="143"/>
      <c r="L4" s="143"/>
      <c r="M4" s="4"/>
      <c r="N4" s="4"/>
      <c r="O4" s="4"/>
    </row>
    <row r="5" spans="1:15" x14ac:dyDescent="0.2">
      <c r="A5" s="4"/>
      <c r="B5" s="48"/>
      <c r="C5" s="4"/>
      <c r="D5" s="4"/>
      <c r="E5" s="4"/>
      <c r="F5" s="143"/>
      <c r="G5" s="143"/>
      <c r="H5" s="143"/>
      <c r="I5" s="143"/>
      <c r="J5" s="143"/>
      <c r="K5" s="143"/>
      <c r="L5" s="143"/>
      <c r="M5" s="4"/>
      <c r="N5" s="4"/>
      <c r="O5" s="4"/>
    </row>
    <row r="6" spans="1:15" ht="12.75" customHeight="1" x14ac:dyDescent="0.2">
      <c r="A6" s="4"/>
      <c r="B6" s="4"/>
      <c r="C6" s="217" t="str">
        <f>"$2021"</f>
        <v>$2021</v>
      </c>
      <c r="D6" s="4"/>
      <c r="E6" s="4"/>
      <c r="F6" s="143"/>
      <c r="G6" s="143"/>
      <c r="H6" s="143"/>
      <c r="I6" s="143"/>
      <c r="J6" s="143"/>
      <c r="K6" s="143"/>
      <c r="L6" s="143"/>
      <c r="M6" s="4"/>
      <c r="N6" s="4"/>
      <c r="O6" s="4"/>
    </row>
    <row r="7" spans="1:15" ht="25.5" x14ac:dyDescent="0.2">
      <c r="A7" s="4"/>
      <c r="B7" s="3" t="s">
        <v>35</v>
      </c>
      <c r="C7" s="158" t="s">
        <v>334</v>
      </c>
      <c r="D7" s="143"/>
      <c r="E7" s="4"/>
      <c r="F7" s="143"/>
      <c r="G7" s="143"/>
      <c r="H7" s="143"/>
      <c r="I7" s="143"/>
      <c r="J7" s="143"/>
      <c r="K7" s="143"/>
      <c r="L7" s="143"/>
      <c r="M7" s="4"/>
      <c r="N7" s="4"/>
      <c r="O7" s="4"/>
    </row>
    <row r="8" spans="1:15" x14ac:dyDescent="0.2">
      <c r="A8" s="4"/>
      <c r="B8" s="216">
        <f>IF('Historical Expenditure-Volumes'!B9=0," ",'Historical Expenditure-Volumes'!B9)</f>
        <v>102</v>
      </c>
      <c r="C8" s="189">
        <f>SUM('Historical Expenditure-Volumes'!D29:G29)/SUM('Historical Expenditure-Volumes'!D84:G84)</f>
        <v>79978.746089702661</v>
      </c>
      <c r="D8" s="143"/>
      <c r="E8" s="4"/>
      <c r="F8" s="143"/>
      <c r="G8" s="143"/>
      <c r="H8" s="143"/>
      <c r="I8" s="143"/>
      <c r="J8" s="143"/>
      <c r="K8" s="143"/>
      <c r="L8" s="143"/>
      <c r="M8" s="4"/>
      <c r="N8" s="4"/>
      <c r="O8" s="4"/>
    </row>
    <row r="9" spans="1:15" x14ac:dyDescent="0.2">
      <c r="A9" s="4"/>
      <c r="B9" s="216">
        <f>IF('Historical Expenditure-Volumes'!B10=0," ",'Historical Expenditure-Volumes'!B10)</f>
        <v>104</v>
      </c>
      <c r="C9" s="189">
        <f>SUM('Historical Expenditure-Volumes'!D30:G30)/SUM('Historical Expenditure-Volumes'!D85:G85)</f>
        <v>34962.849937697079</v>
      </c>
      <c r="D9" s="143"/>
      <c r="E9" s="4"/>
      <c r="F9" s="143"/>
      <c r="G9" s="143"/>
      <c r="H9" s="143"/>
      <c r="I9" s="143"/>
      <c r="J9" s="143"/>
      <c r="K9" s="143"/>
      <c r="L9" s="143"/>
      <c r="M9" s="4"/>
      <c r="N9" s="4"/>
      <c r="O9" s="4"/>
    </row>
    <row r="10" spans="1:15" x14ac:dyDescent="0.2">
      <c r="A10" s="4"/>
      <c r="B10" s="216">
        <f>IF('Historical Expenditure-Volumes'!B11=0," ",'Historical Expenditure-Volumes'!B11)</f>
        <v>105</v>
      </c>
      <c r="C10" s="189">
        <f>SUM('Historical Expenditure-Volumes'!D31:G31)/SUM('Historical Expenditure-Volumes'!D86:G86)</f>
        <v>57909.07102298049</v>
      </c>
      <c r="D10" s="143"/>
      <c r="E10" s="4"/>
      <c r="F10" s="143"/>
      <c r="G10" s="143"/>
      <c r="H10" s="143"/>
      <c r="I10" s="143"/>
      <c r="J10" s="143"/>
      <c r="K10" s="143"/>
      <c r="L10" s="143"/>
      <c r="M10" s="4"/>
      <c r="N10" s="4"/>
      <c r="O10" s="4"/>
    </row>
    <row r="11" spans="1:15" x14ac:dyDescent="0.2">
      <c r="A11" s="4"/>
      <c r="B11" s="216">
        <f>IF('Historical Expenditure-Volumes'!B12=0," ",'Historical Expenditure-Volumes'!B12)</f>
        <v>106</v>
      </c>
      <c r="C11" s="189">
        <f>SUM('Historical Expenditure-Volumes'!D32:G32)/SUM('Historical Expenditure-Volumes'!D87:G87)</f>
        <v>149211.13328274732</v>
      </c>
      <c r="D11" s="143"/>
      <c r="E11" s="4"/>
      <c r="F11" s="143"/>
      <c r="G11" s="143"/>
      <c r="H11" s="143"/>
      <c r="I11" s="143"/>
      <c r="J11" s="143"/>
      <c r="K11" s="143"/>
      <c r="L11" s="143"/>
      <c r="M11" s="4"/>
      <c r="N11" s="4"/>
      <c r="O11" s="4"/>
    </row>
    <row r="12" spans="1:15" x14ac:dyDescent="0.2">
      <c r="A12" s="4"/>
      <c r="B12" s="216">
        <f>IF('Historical Expenditure-Volumes'!B13=0," ",'Historical Expenditure-Volumes'!B13)</f>
        <v>107</v>
      </c>
      <c r="C12" s="189">
        <f>SUM('Historical Expenditure-Volumes'!D33:G33)/SUM('Historical Expenditure-Volumes'!D88:G88)</f>
        <v>1001693.7339194765</v>
      </c>
      <c r="D12" s="143"/>
      <c r="E12" s="4"/>
      <c r="F12" s="143"/>
      <c r="G12" s="143"/>
      <c r="H12" s="143"/>
      <c r="I12" s="143"/>
      <c r="J12" s="143"/>
      <c r="K12" s="143"/>
      <c r="L12" s="143"/>
      <c r="M12" s="4"/>
      <c r="N12" s="4"/>
      <c r="O12" s="4"/>
    </row>
    <row r="13" spans="1:15" x14ac:dyDescent="0.2">
      <c r="A13" s="4"/>
      <c r="B13" s="216">
        <f>IF('Historical Expenditure-Volumes'!B14=0," ",'Historical Expenditure-Volumes'!B14)</f>
        <v>108</v>
      </c>
      <c r="C13" s="215">
        <v>0</v>
      </c>
      <c r="D13" s="143"/>
      <c r="E13" s="4"/>
      <c r="F13" s="143"/>
      <c r="G13" s="143"/>
      <c r="H13" s="143"/>
      <c r="I13" s="143"/>
      <c r="J13" s="143"/>
      <c r="K13" s="143"/>
      <c r="L13" s="143"/>
      <c r="M13" s="4"/>
      <c r="N13" s="4"/>
      <c r="O13" s="4"/>
    </row>
    <row r="14" spans="1:15" x14ac:dyDescent="0.2">
      <c r="A14" s="4"/>
      <c r="B14" s="216">
        <f>IF('Historical Expenditure-Volumes'!B15=0," ",'Historical Expenditure-Volumes'!B15)</f>
        <v>109</v>
      </c>
      <c r="C14" s="189">
        <f>SUM('Historical Expenditure-Volumes'!E35:G35)/SUM('Historical Expenditure-Volumes'!E90:G90)</f>
        <v>9792.0975808867515</v>
      </c>
      <c r="D14" s="143" t="s">
        <v>330</v>
      </c>
      <c r="E14" s="48"/>
      <c r="F14" s="143"/>
      <c r="G14" s="143"/>
      <c r="H14" s="143"/>
      <c r="I14" s="143"/>
      <c r="J14" s="143"/>
      <c r="K14" s="143"/>
      <c r="L14" s="143"/>
      <c r="M14" s="4"/>
      <c r="N14" s="4"/>
      <c r="O14" s="4"/>
    </row>
    <row r="15" spans="1:15" x14ac:dyDescent="0.2">
      <c r="A15" s="4"/>
      <c r="B15" s="216">
        <f>IF('Historical Expenditure-Volumes'!B16=0," ",'Historical Expenditure-Volumes'!B16)</f>
        <v>110</v>
      </c>
      <c r="C15" s="215">
        <v>0</v>
      </c>
      <c r="D15" s="143"/>
      <c r="E15" s="4"/>
      <c r="F15" s="143"/>
      <c r="G15" s="143"/>
      <c r="H15" s="143"/>
      <c r="I15" s="143"/>
      <c r="J15" s="143"/>
      <c r="K15" s="143"/>
      <c r="L15" s="143"/>
      <c r="M15" s="4"/>
      <c r="N15" s="4"/>
      <c r="O15" s="4"/>
    </row>
    <row r="16" spans="1:15" x14ac:dyDescent="0.2">
      <c r="A16" s="4"/>
      <c r="B16" s="216">
        <f>IF('Historical Expenditure-Volumes'!B17=0," ",'Historical Expenditure-Volumes'!B17)</f>
        <v>111</v>
      </c>
      <c r="C16" s="189">
        <f>SUM('Historical Expenditure-Volumes'!D37:G37)/SUM('Historical Expenditure-Volumes'!D92:G92)</f>
        <v>217161.86569233998</v>
      </c>
      <c r="D16" s="143"/>
      <c r="E16" s="4"/>
      <c r="F16" s="143"/>
      <c r="G16" s="143"/>
      <c r="H16" s="143"/>
      <c r="I16" s="143"/>
      <c r="J16" s="143"/>
      <c r="K16" s="143"/>
      <c r="L16" s="143"/>
      <c r="M16" s="4"/>
      <c r="N16" s="4"/>
      <c r="O16" s="4"/>
    </row>
    <row r="17" spans="1:15" x14ac:dyDescent="0.2">
      <c r="A17" s="4"/>
      <c r="B17" s="216">
        <f>IF('Historical Expenditure-Volumes'!B18=0," ",'Historical Expenditure-Volumes'!B18)</f>
        <v>114</v>
      </c>
      <c r="C17" s="215">
        <v>0</v>
      </c>
      <c r="D17" s="143"/>
      <c r="E17" s="4"/>
      <c r="F17" s="143"/>
      <c r="G17" s="143"/>
      <c r="H17" s="143"/>
      <c r="I17" s="143"/>
      <c r="J17" s="143"/>
      <c r="K17" s="143"/>
      <c r="L17" s="143"/>
      <c r="M17" s="4"/>
      <c r="N17" s="4"/>
      <c r="O17" s="4"/>
    </row>
    <row r="18" spans="1:15" x14ac:dyDescent="0.2">
      <c r="A18" s="4"/>
      <c r="B18" s="216">
        <f>IF('Historical Expenditure-Volumes'!B19=0," ",'Historical Expenditure-Volumes'!B19)</f>
        <v>115</v>
      </c>
      <c r="C18" s="215">
        <v>0</v>
      </c>
      <c r="D18" s="143"/>
      <c r="E18" s="4"/>
      <c r="F18" s="143"/>
      <c r="G18" s="143"/>
      <c r="H18" s="143"/>
      <c r="I18" s="143"/>
      <c r="J18" s="143"/>
      <c r="K18" s="143"/>
      <c r="L18" s="143"/>
      <c r="M18" s="4"/>
      <c r="N18" s="4"/>
      <c r="O18" s="4"/>
    </row>
    <row r="19" spans="1:15" x14ac:dyDescent="0.2">
      <c r="A19" s="4"/>
      <c r="B19" s="216">
        <f>IF('Historical Expenditure-Volumes'!B20=0," ",'Historical Expenditure-Volumes'!B20)</f>
        <v>116</v>
      </c>
      <c r="C19" s="189">
        <f>SUM('Historical Expenditure-Volumes'!D40:G40)/SUM('Historical Expenditure-Volumes'!D95:G95)</f>
        <v>93096.888399772273</v>
      </c>
      <c r="D19" s="143"/>
      <c r="E19" s="4"/>
      <c r="F19" s="143"/>
      <c r="G19" s="143"/>
      <c r="H19" s="143"/>
      <c r="I19" s="143"/>
      <c r="J19" s="143"/>
      <c r="K19" s="143"/>
      <c r="L19" s="143"/>
      <c r="M19" s="4"/>
      <c r="N19" s="4"/>
      <c r="O19" s="4"/>
    </row>
    <row r="20" spans="1:15" x14ac:dyDescent="0.2">
      <c r="A20" s="4"/>
      <c r="B20" s="216">
        <f>IF('Historical Expenditure-Volumes'!B21=0," ",'Historical Expenditure-Volumes'!B21)</f>
        <v>118</v>
      </c>
      <c r="C20" s="189">
        <f>SUM('Historical Expenditure-Volumes'!D41:F41)/SUM('Historical Expenditure-Volumes'!D96:F96)</f>
        <v>71883.82954385296</v>
      </c>
      <c r="D20" s="143"/>
      <c r="E20" s="4"/>
      <c r="F20" s="143"/>
      <c r="G20" s="143"/>
      <c r="H20" s="143"/>
      <c r="I20" s="143"/>
      <c r="J20" s="143"/>
      <c r="K20" s="143"/>
      <c r="L20" s="143"/>
      <c r="M20" s="4"/>
      <c r="N20" s="4"/>
      <c r="O20" s="4"/>
    </row>
    <row r="21" spans="1:15" x14ac:dyDescent="0.2">
      <c r="A21" s="4"/>
      <c r="B21" s="134" t="s">
        <v>36</v>
      </c>
      <c r="C21" s="202">
        <f>SUM(C8:C20)</f>
        <v>1715690.215469456</v>
      </c>
      <c r="D21" s="143"/>
      <c r="E21" s="4"/>
      <c r="F21" s="143"/>
      <c r="G21" s="143"/>
      <c r="H21" s="143"/>
      <c r="I21" s="143"/>
      <c r="J21" s="143"/>
      <c r="K21" s="143"/>
      <c r="L21" s="143"/>
      <c r="M21" s="4"/>
      <c r="N21" s="4"/>
      <c r="O21" s="4"/>
    </row>
    <row r="22" spans="1:15" x14ac:dyDescent="0.2">
      <c r="A22" s="4"/>
      <c r="B22" s="4"/>
      <c r="C22" s="4"/>
      <c r="D22" s="143"/>
      <c r="E22" s="4"/>
      <c r="F22" s="143"/>
      <c r="G22" s="143"/>
      <c r="H22" s="143"/>
      <c r="I22" s="143"/>
      <c r="J22" s="143"/>
      <c r="K22" s="143"/>
      <c r="L22" s="143"/>
      <c r="M22" s="4"/>
      <c r="N22" s="4"/>
      <c r="O22" s="4"/>
    </row>
    <row r="23" spans="1:15" x14ac:dyDescent="0.2">
      <c r="A23" s="4"/>
      <c r="B23" s="136" t="s">
        <v>277</v>
      </c>
      <c r="C23" s="135"/>
      <c r="D23" s="143"/>
      <c r="E23" s="4"/>
      <c r="F23" s="143"/>
      <c r="G23" s="143"/>
      <c r="H23" s="143"/>
      <c r="I23" s="143"/>
      <c r="J23" s="143"/>
      <c r="K23" s="143"/>
      <c r="L23" s="143"/>
      <c r="M23" s="4"/>
      <c r="N23" s="4"/>
      <c r="O23" s="4"/>
    </row>
    <row r="24" spans="1:15" x14ac:dyDescent="0.2">
      <c r="A24" s="4"/>
      <c r="B24" s="284" t="s">
        <v>333</v>
      </c>
      <c r="C24" s="284"/>
      <c r="D24" s="4"/>
      <c r="E24" s="4"/>
      <c r="F24" s="143"/>
      <c r="G24" s="143"/>
      <c r="H24" s="143"/>
      <c r="I24" s="143"/>
      <c r="J24" s="143"/>
      <c r="K24" s="143"/>
      <c r="L24" s="143"/>
      <c r="M24" s="4"/>
      <c r="N24" s="4"/>
      <c r="O24" s="4"/>
    </row>
    <row r="25" spans="1:15" x14ac:dyDescent="0.2">
      <c r="A25" s="4"/>
      <c r="B25" s="284"/>
      <c r="C25" s="284"/>
      <c r="D25" s="4"/>
      <c r="E25" s="4"/>
      <c r="F25" s="143"/>
      <c r="G25" s="143"/>
      <c r="H25" s="143"/>
      <c r="I25" s="143"/>
      <c r="J25" s="143"/>
      <c r="K25" s="143"/>
      <c r="L25" s="143"/>
      <c r="M25" s="4"/>
      <c r="N25" s="4"/>
      <c r="O25" s="4"/>
    </row>
    <row r="26" spans="1:15" ht="12.75" customHeight="1" x14ac:dyDescent="0.2">
      <c r="A26" s="4"/>
      <c r="B26" s="284"/>
      <c r="C26" s="284"/>
      <c r="D26" s="4"/>
      <c r="E26" s="4"/>
      <c r="F26" s="143"/>
      <c r="G26" s="143"/>
      <c r="H26" s="143"/>
      <c r="I26" s="143"/>
      <c r="J26" s="143"/>
      <c r="K26" s="143"/>
      <c r="L26" s="143"/>
      <c r="M26" s="4"/>
      <c r="N26" s="4"/>
      <c r="O26" s="4"/>
    </row>
    <row r="27" spans="1:1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15.75" x14ac:dyDescent="0.25">
      <c r="A29" s="28"/>
      <c r="B29" s="28" t="s">
        <v>307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idden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idden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idden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hidden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idden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idden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idden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idden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hidden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idden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hidden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hidden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hidden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hidden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hidden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idden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hidden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hidden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hidden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idden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hidden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idden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idden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idden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idden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hidden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idden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idden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idden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idden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idden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idden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hidden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idden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hidden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hidden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idden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hidden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idden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hidden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hidden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hidden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hidden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idden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hidden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hidden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hidden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hidden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hidden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hidden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hidden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hidden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hidden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hidden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hidden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hidden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hidden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hidden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hidden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 hidden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 hidden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 hidden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 hidden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 hidden="1" x14ac:dyDescent="0.2"/>
    <row r="95" spans="1:15" hidden="1" x14ac:dyDescent="0.2"/>
    <row r="96" spans="1:15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</sheetData>
  <mergeCells count="3">
    <mergeCell ref="B24:C24"/>
    <mergeCell ref="B25:C25"/>
    <mergeCell ref="B26:C26"/>
  </mergeCells>
  <hyperlinks>
    <hyperlink ref="C1" location="Menu!A1" display="Menu" xr:uid="{00000000-0004-0000-0900-000000000000}"/>
  </hyperlinks>
  <pageMargins left="0.7" right="0.7" top="0.75" bottom="0.75" header="0.3" footer="0.3"/>
  <pageSetup paperSize="9" orientation="portrait" r:id="rId1"/>
  <ignoredErrors>
    <ignoredError sqref="C8:C2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>
    <tabColor rgb="FFFF0000"/>
    <pageSetUpPr fitToPage="1"/>
  </sheetPr>
  <dimension ref="A1:AD279"/>
  <sheetViews>
    <sheetView zoomScale="75" zoomScaleNormal="75" workbookViewId="0">
      <selection activeCell="H1" sqref="H1:I2"/>
    </sheetView>
  </sheetViews>
  <sheetFormatPr defaultColWidth="0" defaultRowHeight="12.75" zeroHeight="1" x14ac:dyDescent="0.2"/>
  <cols>
    <col min="1" max="1" width="3.7109375" customWidth="1"/>
    <col min="2" max="2" width="9.140625" customWidth="1"/>
    <col min="3" max="9" width="12.140625" bestFit="1" customWidth="1"/>
    <col min="10" max="10" width="12.140625" customWidth="1"/>
    <col min="11" max="13" width="12.140625" bestFit="1" customWidth="1"/>
    <col min="14" max="14" width="11.7109375" customWidth="1"/>
    <col min="15" max="16" width="11.28515625" bestFit="1" customWidth="1"/>
    <col min="17" max="17" width="11.5703125" customWidth="1"/>
    <col min="18" max="26" width="11.28515625" bestFit="1" customWidth="1"/>
    <col min="27" max="27" width="3.7109375" style="162" customWidth="1"/>
    <col min="28" max="28" width="3.7109375" hidden="1" customWidth="1"/>
    <col min="29" max="16384" width="9.140625" hidden="1"/>
  </cols>
  <sheetData>
    <row r="1" spans="1:29" ht="18" x14ac:dyDescent="0.25">
      <c r="A1" s="26" t="str">
        <f>Menu!A1</f>
        <v>CitiPower - Connections</v>
      </c>
      <c r="B1" s="26"/>
      <c r="C1" s="26"/>
      <c r="D1" s="26"/>
      <c r="E1" s="26"/>
      <c r="F1" s="26"/>
      <c r="G1" s="26"/>
      <c r="H1" s="315" t="s">
        <v>352</v>
      </c>
      <c r="I1" s="315"/>
      <c r="J1" s="26"/>
      <c r="K1" s="26"/>
      <c r="L1" s="26"/>
      <c r="M1" s="26"/>
      <c r="N1" s="30" t="s">
        <v>39</v>
      </c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5.75" x14ac:dyDescent="0.25">
      <c r="A2" s="28" t="str">
        <f ca="1">RIGHT(CELL("filename", $A$1), LEN(CELL("filename", $A$1)) - SEARCH("]", CELL("filename", $A$1)))</f>
        <v>Forecast Expenditure-Volumes</v>
      </c>
      <c r="B2" s="28"/>
      <c r="C2" s="28"/>
      <c r="D2" s="28"/>
      <c r="E2" s="28"/>
      <c r="F2" s="28"/>
      <c r="G2" s="28"/>
      <c r="H2" s="316" t="s">
        <v>353</v>
      </c>
      <c r="I2" s="316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143"/>
      <c r="AB3" s="4"/>
      <c r="AC3" s="4"/>
    </row>
    <row r="4" spans="1:29" x14ac:dyDescent="0.2">
      <c r="A4" s="4"/>
      <c r="B4" s="34" t="s">
        <v>336</v>
      </c>
      <c r="C4" s="4"/>
      <c r="D4" s="4"/>
      <c r="E4" s="4"/>
      <c r="F4" s="4"/>
      <c r="G4" s="4"/>
      <c r="H4" s="4"/>
      <c r="I4" s="4"/>
      <c r="J4" s="143"/>
      <c r="K4" s="143"/>
      <c r="L4" s="143"/>
      <c r="M4" s="143"/>
      <c r="N4" s="14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43"/>
      <c r="AB4" s="4"/>
      <c r="AC4" s="4"/>
    </row>
    <row r="5" spans="1:29" x14ac:dyDescent="0.2">
      <c r="A5" s="4"/>
      <c r="B5" s="48" t="s">
        <v>322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143"/>
      <c r="AB5" s="4"/>
      <c r="AC5" s="4"/>
    </row>
    <row r="6" spans="1:29" x14ac:dyDescent="0.2">
      <c r="A6" s="4"/>
      <c r="B6" s="4"/>
      <c r="C6" s="280" t="s">
        <v>192</v>
      </c>
      <c r="D6" s="298"/>
      <c r="E6" s="298"/>
      <c r="F6" s="298"/>
      <c r="G6" s="298"/>
      <c r="H6" s="298"/>
      <c r="I6" s="298"/>
      <c r="J6" s="298"/>
      <c r="K6" s="298"/>
      <c r="L6" s="298"/>
      <c r="M6" s="282"/>
      <c r="N6" s="14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143"/>
      <c r="AA6" s="4"/>
      <c r="AB6" s="4"/>
      <c r="AC6" s="4"/>
    </row>
    <row r="7" spans="1:29" ht="25.5" x14ac:dyDescent="0.2">
      <c r="A7" s="4"/>
      <c r="B7" s="3" t="s">
        <v>35</v>
      </c>
      <c r="C7" s="3" t="s">
        <v>325</v>
      </c>
      <c r="D7" s="3" t="s">
        <v>326</v>
      </c>
      <c r="E7" s="3" t="s">
        <v>327</v>
      </c>
      <c r="F7" s="163" t="s">
        <v>328</v>
      </c>
      <c r="G7" s="163" t="s">
        <v>312</v>
      </c>
      <c r="H7" s="163" t="s">
        <v>313</v>
      </c>
      <c r="I7" s="163" t="s">
        <v>314</v>
      </c>
      <c r="J7" s="163" t="s">
        <v>315</v>
      </c>
      <c r="K7" s="163" t="s">
        <v>316</v>
      </c>
      <c r="L7" s="163" t="s">
        <v>317</v>
      </c>
      <c r="M7" s="163" t="s">
        <v>318</v>
      </c>
      <c r="N7" s="143"/>
      <c r="O7" s="143"/>
      <c r="P7" s="4"/>
      <c r="Q7" s="4"/>
      <c r="R7" s="4"/>
      <c r="S7" s="4"/>
      <c r="T7" s="4"/>
      <c r="U7" s="4"/>
      <c r="V7" s="4"/>
      <c r="W7" s="4"/>
      <c r="X7" s="4"/>
      <c r="Y7" s="4"/>
      <c r="Z7" s="143"/>
      <c r="AA7" s="4"/>
      <c r="AB7" s="4"/>
      <c r="AC7" s="4"/>
    </row>
    <row r="8" spans="1:29" x14ac:dyDescent="0.2">
      <c r="A8" s="4"/>
      <c r="B8" s="68">
        <f>'Historical Expenditure-Volumes'!B84</f>
        <v>102</v>
      </c>
      <c r="C8" s="66">
        <f>'Historical Expenditure-Volumes'!D84</f>
        <v>34.5</v>
      </c>
      <c r="D8" s="66">
        <f>'Historical Expenditure-Volumes'!E84</f>
        <v>37</v>
      </c>
      <c r="E8" s="66">
        <f>'Historical Expenditure-Volumes'!F84</f>
        <v>28</v>
      </c>
      <c r="F8" s="66">
        <f>'Historical Expenditure-Volumes'!G84</f>
        <v>18.368474865117442</v>
      </c>
      <c r="G8" s="199">
        <f>'Historical Expenditure-Volumes'!$H84</f>
        <v>29.467118716279359</v>
      </c>
      <c r="H8" s="144">
        <f>G8*(1+'Growth Rates'!H8)</f>
        <v>28.374357900283226</v>
      </c>
      <c r="I8" s="144">
        <f>H8*(1+'Growth Rates'!I8)</f>
        <v>28.99932727107554</v>
      </c>
      <c r="J8" s="144">
        <f>I8*(1+'Growth Rates'!J8)</f>
        <v>29.81141321994938</v>
      </c>
      <c r="K8" s="144">
        <f>J8*(1+'Growth Rates'!K8)</f>
        <v>30.312885649207878</v>
      </c>
      <c r="L8" s="144">
        <f>K8*(1+'Growth Rates'!L8)</f>
        <v>30.477548237919628</v>
      </c>
      <c r="M8" s="144">
        <f>L8*(1+'Growth Rates'!M8)</f>
        <v>30.660922484439528</v>
      </c>
      <c r="N8" s="143"/>
      <c r="O8" s="143"/>
      <c r="P8" s="4"/>
      <c r="Q8" s="4"/>
      <c r="R8" s="4"/>
      <c r="S8" s="4"/>
      <c r="T8" s="4"/>
      <c r="U8" s="4"/>
      <c r="V8" s="4"/>
      <c r="W8" s="4"/>
      <c r="X8" s="4"/>
      <c r="Y8" s="4"/>
      <c r="Z8" s="143"/>
      <c r="AA8" s="4"/>
      <c r="AB8" s="4"/>
      <c r="AC8" s="4"/>
    </row>
    <row r="9" spans="1:29" x14ac:dyDescent="0.2">
      <c r="A9" s="4"/>
      <c r="B9" s="68">
        <f>'Historical Expenditure-Volumes'!B85</f>
        <v>104</v>
      </c>
      <c r="C9" s="66">
        <f>'Historical Expenditure-Volumes'!D85</f>
        <v>1.5</v>
      </c>
      <c r="D9" s="66">
        <f>'Historical Expenditure-Volumes'!E85</f>
        <v>2</v>
      </c>
      <c r="E9" s="66">
        <f>'Historical Expenditure-Volumes'!F85</f>
        <v>1</v>
      </c>
      <c r="F9" s="66">
        <f>'Historical Expenditure-Volumes'!G85</f>
        <v>0</v>
      </c>
      <c r="G9" s="199">
        <f>'Historical Expenditure-Volumes'!$H85</f>
        <v>1.125</v>
      </c>
      <c r="H9" s="199">
        <f>G9*(1+'Growth Rates'!H9)</f>
        <v>1.125</v>
      </c>
      <c r="I9" s="144">
        <f>H9*(1+'Growth Rates'!I9)</f>
        <v>1.125</v>
      </c>
      <c r="J9" s="144">
        <f>I9*(1+'Growth Rates'!J9)</f>
        <v>1.125</v>
      </c>
      <c r="K9" s="144">
        <f>J9*(1+'Growth Rates'!K9)</f>
        <v>1.125</v>
      </c>
      <c r="L9" s="144">
        <f>K9*(1+'Growth Rates'!L9)</f>
        <v>1.125</v>
      </c>
      <c r="M9" s="144">
        <f>L9*(1+'Growth Rates'!M9)</f>
        <v>1.125</v>
      </c>
      <c r="N9" s="143"/>
      <c r="O9" s="143"/>
      <c r="P9" s="4"/>
      <c r="Q9" s="4"/>
      <c r="R9" s="4"/>
      <c r="S9" s="4"/>
      <c r="T9" s="4"/>
      <c r="U9" s="4"/>
      <c r="V9" s="4"/>
      <c r="W9" s="4"/>
      <c r="X9" s="4"/>
      <c r="Y9" s="4"/>
      <c r="Z9" s="143"/>
      <c r="AA9" s="4"/>
      <c r="AB9" s="4"/>
      <c r="AC9" s="4"/>
    </row>
    <row r="10" spans="1:29" x14ac:dyDescent="0.2">
      <c r="A10" s="4"/>
      <c r="B10" s="68">
        <f>'Historical Expenditure-Volumes'!B86</f>
        <v>105</v>
      </c>
      <c r="C10" s="66">
        <f>'Historical Expenditure-Volumes'!D86</f>
        <v>62</v>
      </c>
      <c r="D10" s="66">
        <f>'Historical Expenditure-Volumes'!E86</f>
        <v>77</v>
      </c>
      <c r="E10" s="66">
        <f>'Historical Expenditure-Volumes'!F86</f>
        <v>145</v>
      </c>
      <c r="F10" s="66">
        <f>'Historical Expenditure-Volumes'!G86</f>
        <v>214.1914765738984</v>
      </c>
      <c r="G10" s="199">
        <f>'Historical Expenditure-Volumes'!$H86</f>
        <v>124.5478691434746</v>
      </c>
      <c r="H10" s="144">
        <f>G10*(1+'Growth Rates'!H10)</f>
        <v>121.26535753201254</v>
      </c>
      <c r="I10" s="144">
        <f>H10*(1+'Growth Rates'!I10)</f>
        <v>115.8726598846106</v>
      </c>
      <c r="J10" s="144">
        <f>I10*(1+'Growth Rates'!J10)</f>
        <v>92.144790236042027</v>
      </c>
      <c r="K10" s="144">
        <f>J10*(1+'Growth Rates'!K10)</f>
        <v>92.660613489271782</v>
      </c>
      <c r="L10" s="144">
        <f>K10*(1+'Growth Rates'!L10)</f>
        <v>102.97707855386683</v>
      </c>
      <c r="M10" s="144">
        <f>L10*(1+'Growth Rates'!M10)</f>
        <v>105.18105063584849</v>
      </c>
      <c r="N10" s="143"/>
      <c r="O10" s="143"/>
      <c r="P10" s="4"/>
      <c r="Q10" s="4"/>
      <c r="R10" s="4"/>
      <c r="S10" s="4"/>
      <c r="T10" s="4"/>
      <c r="U10" s="4"/>
      <c r="V10" s="4"/>
      <c r="W10" s="4"/>
      <c r="X10" s="4"/>
      <c r="Y10" s="4"/>
      <c r="Z10" s="143"/>
      <c r="AA10" s="4"/>
      <c r="AB10" s="4"/>
      <c r="AC10" s="4"/>
    </row>
    <row r="11" spans="1:29" x14ac:dyDescent="0.2">
      <c r="A11" s="4"/>
      <c r="B11" s="68">
        <f>'Historical Expenditure-Volumes'!B87</f>
        <v>106</v>
      </c>
      <c r="C11" s="66">
        <f>'Historical Expenditure-Volumes'!D87</f>
        <v>47.5</v>
      </c>
      <c r="D11" s="66">
        <f>'Historical Expenditure-Volumes'!E87</f>
        <v>52</v>
      </c>
      <c r="E11" s="66">
        <f>'Historical Expenditure-Volumes'!F87</f>
        <v>74</v>
      </c>
      <c r="F11" s="66">
        <f>'Historical Expenditure-Volumes'!G87</f>
        <v>82.211082716867324</v>
      </c>
      <c r="G11" s="199">
        <f>'Historical Expenditure-Volumes'!$H87</f>
        <v>63.927770679216835</v>
      </c>
      <c r="H11" s="144">
        <f>G11*(1+'Growth Rates'!H11)</f>
        <v>64.79548834217573</v>
      </c>
      <c r="I11" s="144">
        <f>H11*(1+'Growth Rates'!I11)</f>
        <v>65.831436980606256</v>
      </c>
      <c r="J11" s="144">
        <f>I11*(1+'Growth Rates'!J11)</f>
        <v>61.900144711690423</v>
      </c>
      <c r="K11" s="144">
        <f>J11*(1+'Growth Rates'!K11)</f>
        <v>60.713673621522133</v>
      </c>
      <c r="L11" s="144">
        <f>K11*(1+'Growth Rates'!L11)</f>
        <v>62.723591065314686</v>
      </c>
      <c r="M11" s="144">
        <f>L11*(1+'Growth Rates'!M11)</f>
        <v>63.759539703745212</v>
      </c>
      <c r="N11" s="143"/>
      <c r="O11" s="143"/>
      <c r="P11" s="4"/>
      <c r="Q11" s="4"/>
      <c r="R11" s="4"/>
      <c r="S11" s="4"/>
      <c r="T11" s="4"/>
      <c r="U11" s="4"/>
      <c r="V11" s="4"/>
      <c r="W11" s="4"/>
      <c r="X11" s="4"/>
      <c r="Y11" s="4"/>
      <c r="Z11" s="143"/>
      <c r="AA11" s="4"/>
      <c r="AB11" s="4"/>
      <c r="AC11" s="4"/>
    </row>
    <row r="12" spans="1:29" x14ac:dyDescent="0.2">
      <c r="A12" s="4"/>
      <c r="B12" s="68">
        <f>'Historical Expenditure-Volumes'!B88</f>
        <v>107</v>
      </c>
      <c r="C12" s="66">
        <f>'Historical Expenditure-Volumes'!D88</f>
        <v>2</v>
      </c>
      <c r="D12" s="66">
        <f>'Historical Expenditure-Volumes'!E88</f>
        <v>3</v>
      </c>
      <c r="E12" s="66">
        <f>'Historical Expenditure-Volumes'!F88</f>
        <v>2.5</v>
      </c>
      <c r="F12" s="66">
        <f>'Historical Expenditure-Volumes'!G88</f>
        <v>4.065809573851352</v>
      </c>
      <c r="G12" s="199">
        <f>'Historical Expenditure-Volumes'!$H88</f>
        <v>2.891452393462838</v>
      </c>
      <c r="H12" s="144">
        <f>G12*(1+'Growth Rates'!H12)</f>
        <v>2.891452393462838</v>
      </c>
      <c r="I12" s="144">
        <f>H12*(1+'Growth Rates'!I12)</f>
        <v>2.891452393462838</v>
      </c>
      <c r="J12" s="144">
        <f>I12*(1+'Growth Rates'!J12)</f>
        <v>2.891452393462838</v>
      </c>
      <c r="K12" s="144">
        <f>J12*(1+'Growth Rates'!K12)</f>
        <v>2.891452393462838</v>
      </c>
      <c r="L12" s="144">
        <f>K12*(1+'Growth Rates'!L12)</f>
        <v>2.891452393462838</v>
      </c>
      <c r="M12" s="144">
        <f>L12*(1+'Growth Rates'!M12)</f>
        <v>2.891452393462838</v>
      </c>
      <c r="N12" s="143"/>
      <c r="O12" s="143"/>
      <c r="P12" s="4"/>
      <c r="Q12" s="4"/>
      <c r="R12" s="4"/>
      <c r="S12" s="4"/>
      <c r="T12" s="4"/>
      <c r="U12" s="4"/>
      <c r="V12" s="4"/>
      <c r="W12" s="4"/>
      <c r="X12" s="4"/>
      <c r="Y12" s="4"/>
      <c r="Z12" s="143"/>
      <c r="AA12" s="4"/>
      <c r="AB12" s="4"/>
      <c r="AC12" s="4"/>
    </row>
    <row r="13" spans="1:29" x14ac:dyDescent="0.2">
      <c r="A13" s="4"/>
      <c r="B13" s="68">
        <f>'Historical Expenditure-Volumes'!B89</f>
        <v>108</v>
      </c>
      <c r="C13" s="66">
        <f>'Historical Expenditure-Volumes'!D89</f>
        <v>0</v>
      </c>
      <c r="D13" s="66">
        <f>'Historical Expenditure-Volumes'!E89</f>
        <v>0</v>
      </c>
      <c r="E13" s="66">
        <f>'Historical Expenditure-Volumes'!F89</f>
        <v>0</v>
      </c>
      <c r="F13" s="66">
        <f>'Historical Expenditure-Volumes'!G89</f>
        <v>0</v>
      </c>
      <c r="G13" s="199">
        <f>'Historical Expenditure-Volumes'!$H89</f>
        <v>0</v>
      </c>
      <c r="H13" s="144">
        <f>G13*(1+'Growth Rates'!H13)</f>
        <v>0</v>
      </c>
      <c r="I13" s="144">
        <f>H13*(1+'Growth Rates'!I13)</f>
        <v>0</v>
      </c>
      <c r="J13" s="144">
        <f>I13*(1+'Growth Rates'!J13)</f>
        <v>0</v>
      </c>
      <c r="K13" s="144">
        <f>J13*(1+'Growth Rates'!K13)</f>
        <v>0</v>
      </c>
      <c r="L13" s="144">
        <f>K13*(1+'Growth Rates'!L13)</f>
        <v>0</v>
      </c>
      <c r="M13" s="144">
        <f>L13*(1+'Growth Rates'!M13)</f>
        <v>0</v>
      </c>
      <c r="N13" s="143"/>
      <c r="O13" s="143"/>
      <c r="P13" s="4"/>
      <c r="Q13" s="4"/>
      <c r="R13" s="4"/>
      <c r="S13" s="4"/>
      <c r="T13" s="4"/>
      <c r="U13" s="4"/>
      <c r="V13" s="4"/>
      <c r="W13" s="4"/>
      <c r="X13" s="4"/>
      <c r="Y13" s="4"/>
      <c r="Z13" s="143"/>
      <c r="AA13" s="4"/>
      <c r="AB13" s="4"/>
      <c r="AC13" s="4"/>
    </row>
    <row r="14" spans="1:29" x14ac:dyDescent="0.2">
      <c r="A14" s="4"/>
      <c r="B14" s="68">
        <f>'Historical Expenditure-Volumes'!B90</f>
        <v>109</v>
      </c>
      <c r="C14" s="66">
        <f>'Historical Expenditure-Volumes'!D90</f>
        <v>238</v>
      </c>
      <c r="D14" s="66">
        <f>'Historical Expenditure-Volumes'!E90</f>
        <v>476.5</v>
      </c>
      <c r="E14" s="66">
        <f>'Historical Expenditure-Volumes'!F90</f>
        <v>548.5</v>
      </c>
      <c r="F14" s="66">
        <f>'Historical Expenditure-Volumes'!G90</f>
        <v>813.54690303088523</v>
      </c>
      <c r="G14" s="199">
        <f>'Historical Expenditure-Volumes'!$H90</f>
        <v>612.84896767696171</v>
      </c>
      <c r="H14" s="144">
        <f>G14*(1+'Growth Rates'!H14)</f>
        <v>590.12203110575615</v>
      </c>
      <c r="I14" s="144">
        <f>H14*(1+'Growth Rates'!I14)</f>
        <v>603.1199708570964</v>
      </c>
      <c r="J14" s="144">
        <f>I14*(1+'Growth Rates'!J14)</f>
        <v>620.00950933638273</v>
      </c>
      <c r="K14" s="144">
        <f>J14*(1+'Growth Rates'!K14)</f>
        <v>630.43899392727837</v>
      </c>
      <c r="L14" s="144">
        <f>K14*(1+'Growth Rates'!L14)</f>
        <v>633.86360080787108</v>
      </c>
      <c r="M14" s="144">
        <f>L14*(1+'Growth Rates'!M14)</f>
        <v>637.67736756125828</v>
      </c>
      <c r="N14" s="143"/>
      <c r="O14" s="143"/>
      <c r="P14" s="4"/>
      <c r="Q14" s="4"/>
      <c r="R14" s="4"/>
      <c r="S14" s="4"/>
      <c r="T14" s="4"/>
      <c r="U14" s="4"/>
      <c r="V14" s="4"/>
      <c r="W14" s="4"/>
      <c r="X14" s="4"/>
      <c r="Y14" s="4"/>
      <c r="Z14" s="143"/>
      <c r="AA14" s="4"/>
      <c r="AB14" s="4"/>
      <c r="AC14" s="4"/>
    </row>
    <row r="15" spans="1:29" x14ac:dyDescent="0.2">
      <c r="A15" s="4"/>
      <c r="B15" s="68">
        <f>'Historical Expenditure-Volumes'!B91</f>
        <v>110</v>
      </c>
      <c r="C15" s="66">
        <f>'Historical Expenditure-Volumes'!D91</f>
        <v>0</v>
      </c>
      <c r="D15" s="66">
        <f>'Historical Expenditure-Volumes'!E91</f>
        <v>0</v>
      </c>
      <c r="E15" s="66">
        <f>'Historical Expenditure-Volumes'!F91</f>
        <v>0</v>
      </c>
      <c r="F15" s="66">
        <f>'Historical Expenditure-Volumes'!G91</f>
        <v>0</v>
      </c>
      <c r="G15" s="199">
        <f>'Historical Expenditure-Volumes'!$H91</f>
        <v>0</v>
      </c>
      <c r="H15" s="144">
        <f>G15*(1+'Growth Rates'!H15)</f>
        <v>0</v>
      </c>
      <c r="I15" s="144">
        <f>H15*(1+'Growth Rates'!I15)</f>
        <v>0</v>
      </c>
      <c r="J15" s="144">
        <f>I15*(1+'Growth Rates'!J15)</f>
        <v>0</v>
      </c>
      <c r="K15" s="144">
        <f>J15*(1+'Growth Rates'!K15)</f>
        <v>0</v>
      </c>
      <c r="L15" s="144">
        <f>K15*(1+'Growth Rates'!L15)</f>
        <v>0</v>
      </c>
      <c r="M15" s="144">
        <f>L15*(1+'Growth Rates'!M15)</f>
        <v>0</v>
      </c>
      <c r="N15" s="143"/>
      <c r="O15" s="143"/>
      <c r="P15" s="4"/>
      <c r="Q15" s="4"/>
      <c r="R15" s="4"/>
      <c r="S15" s="4"/>
      <c r="T15" s="4"/>
      <c r="U15" s="4"/>
      <c r="V15" s="4"/>
      <c r="W15" s="4"/>
      <c r="X15" s="4"/>
      <c r="Y15" s="4"/>
      <c r="Z15" s="143"/>
      <c r="AA15" s="4"/>
      <c r="AB15" s="4"/>
      <c r="AC15" s="4"/>
    </row>
    <row r="16" spans="1:29" x14ac:dyDescent="0.2">
      <c r="A16" s="4"/>
      <c r="B16" s="68">
        <f>'Historical Expenditure-Volumes'!B92</f>
        <v>111</v>
      </c>
      <c r="C16" s="66">
        <f>'Historical Expenditure-Volumes'!D92</f>
        <v>56.5</v>
      </c>
      <c r="D16" s="66">
        <f>'Historical Expenditure-Volumes'!E92</f>
        <v>45</v>
      </c>
      <c r="E16" s="66">
        <f>'Historical Expenditure-Volumes'!F92</f>
        <v>125.5</v>
      </c>
      <c r="F16" s="66">
        <f>'Historical Expenditure-Volumes'!G92</f>
        <v>206.66700313442067</v>
      </c>
      <c r="G16" s="199">
        <f>'Historical Expenditure-Volumes'!$H92</f>
        <v>108.41675078360517</v>
      </c>
      <c r="H16" s="144">
        <f>G16*(1+'Growth Rates'!H16)</f>
        <v>100.00555951544121</v>
      </c>
      <c r="I16" s="144">
        <f>H16*(1+'Growth Rates'!I16)</f>
        <v>94.354290382143546</v>
      </c>
      <c r="J16" s="144">
        <f>I16*(1+'Growth Rates'!J16)</f>
        <v>90.884673984025909</v>
      </c>
      <c r="K16" s="144">
        <f>J16*(1+'Growth Rates'!K16)</f>
        <v>98.927875634207709</v>
      </c>
      <c r="L16" s="144">
        <f>K16*(1+'Growth Rates'!L16)</f>
        <v>103.80811890125702</v>
      </c>
      <c r="M16" s="144">
        <f>L16*(1+'Growth Rates'!M16)</f>
        <v>104.78942454920947</v>
      </c>
      <c r="N16" s="143"/>
      <c r="O16" s="143"/>
      <c r="P16" s="4"/>
      <c r="Q16" s="4"/>
      <c r="R16" s="4"/>
      <c r="S16" s="4"/>
      <c r="T16" s="4"/>
      <c r="U16" s="4"/>
      <c r="V16" s="4"/>
      <c r="W16" s="4"/>
      <c r="X16" s="4"/>
      <c r="Y16" s="4"/>
      <c r="Z16" s="143"/>
      <c r="AA16" s="4"/>
      <c r="AB16" s="4"/>
      <c r="AC16" s="4"/>
    </row>
    <row r="17" spans="1:29" x14ac:dyDescent="0.2">
      <c r="A17" s="4"/>
      <c r="B17" s="68">
        <f>'Historical Expenditure-Volumes'!B93</f>
        <v>114</v>
      </c>
      <c r="C17" s="66">
        <f>'Historical Expenditure-Volumes'!D93</f>
        <v>664.5</v>
      </c>
      <c r="D17" s="66">
        <f>'Historical Expenditure-Volumes'!E93</f>
        <v>0</v>
      </c>
      <c r="E17" s="66">
        <f>'Historical Expenditure-Volumes'!F93</f>
        <v>0</v>
      </c>
      <c r="F17" s="66">
        <f>'Historical Expenditure-Volumes'!G93</f>
        <v>0</v>
      </c>
      <c r="G17" s="199">
        <f>'Historical Expenditure-Volumes'!$H93</f>
        <v>0</v>
      </c>
      <c r="H17" s="144">
        <f>G17*(1+'Growth Rates'!H17)</f>
        <v>0</v>
      </c>
      <c r="I17" s="144">
        <f>H17*(1+'Growth Rates'!I17)</f>
        <v>0</v>
      </c>
      <c r="J17" s="144">
        <f>I17*(1+'Growth Rates'!J17)</f>
        <v>0</v>
      </c>
      <c r="K17" s="144">
        <f>J17*(1+'Growth Rates'!K17)</f>
        <v>0</v>
      </c>
      <c r="L17" s="144">
        <f>K17*(1+'Growth Rates'!L17)</f>
        <v>0</v>
      </c>
      <c r="M17" s="144">
        <f>L17*(1+'Growth Rates'!M17)</f>
        <v>0</v>
      </c>
      <c r="N17" s="143"/>
      <c r="O17" s="143"/>
      <c r="P17" s="4"/>
      <c r="Q17" s="4"/>
      <c r="R17" s="4"/>
      <c r="S17" s="4"/>
      <c r="T17" s="4"/>
      <c r="U17" s="4"/>
      <c r="V17" s="4"/>
      <c r="W17" s="4"/>
      <c r="X17" s="4"/>
      <c r="Y17" s="4"/>
      <c r="Z17" s="143"/>
      <c r="AA17" s="4"/>
      <c r="AB17" s="4"/>
      <c r="AC17" s="4"/>
    </row>
    <row r="18" spans="1:29" x14ac:dyDescent="0.2">
      <c r="A18" s="4"/>
      <c r="B18" s="68">
        <f>'Historical Expenditure-Volumes'!B94</f>
        <v>115</v>
      </c>
      <c r="C18" s="66">
        <f>'Historical Expenditure-Volumes'!D94</f>
        <v>1668.5</v>
      </c>
      <c r="D18" s="66">
        <f>'Historical Expenditure-Volumes'!E94</f>
        <v>0</v>
      </c>
      <c r="E18" s="66">
        <f>'Historical Expenditure-Volumes'!F94</f>
        <v>0</v>
      </c>
      <c r="F18" s="66">
        <f>'Historical Expenditure-Volumes'!G94</f>
        <v>0</v>
      </c>
      <c r="G18" s="199">
        <f>'Historical Expenditure-Volumes'!$H94</f>
        <v>0</v>
      </c>
      <c r="H18" s="144">
        <f>G18*(1+'Growth Rates'!H18)</f>
        <v>0</v>
      </c>
      <c r="I18" s="144">
        <f>H18*(1+'Growth Rates'!I18)</f>
        <v>0</v>
      </c>
      <c r="J18" s="144">
        <f>I18*(1+'Growth Rates'!J18)</f>
        <v>0</v>
      </c>
      <c r="K18" s="144">
        <f>J18*(1+'Growth Rates'!K18)</f>
        <v>0</v>
      </c>
      <c r="L18" s="144">
        <f>K18*(1+'Growth Rates'!L18)</f>
        <v>0</v>
      </c>
      <c r="M18" s="144">
        <f>L18*(1+'Growth Rates'!M18)</f>
        <v>0</v>
      </c>
      <c r="N18" s="143"/>
      <c r="O18" s="143"/>
      <c r="P18" s="4"/>
      <c r="Q18" s="4"/>
      <c r="R18" s="4"/>
      <c r="S18" s="4"/>
      <c r="T18" s="4"/>
      <c r="U18" s="4"/>
      <c r="V18" s="4"/>
      <c r="W18" s="4"/>
      <c r="X18" s="4"/>
      <c r="Y18" s="4"/>
      <c r="Z18" s="143"/>
      <c r="AA18" s="4"/>
      <c r="AB18" s="4"/>
      <c r="AC18" s="4"/>
    </row>
    <row r="19" spans="1:29" x14ac:dyDescent="0.2">
      <c r="A19" s="4"/>
      <c r="B19" s="68">
        <f>'Historical Expenditure-Volumes'!B95</f>
        <v>116</v>
      </c>
      <c r="C19" s="66">
        <f>'Historical Expenditure-Volumes'!D95</f>
        <v>273.45500000000004</v>
      </c>
      <c r="D19" s="66">
        <f>'Historical Expenditure-Volumes'!E95</f>
        <v>228.45500000000001</v>
      </c>
      <c r="E19" s="66">
        <f>'Historical Expenditure-Volumes'!F95</f>
        <v>233</v>
      </c>
      <c r="F19" s="66">
        <f>'Historical Expenditure-Volumes'!G95</f>
        <v>263.67532996955208</v>
      </c>
      <c r="G19" s="199">
        <f>'Historical Expenditure-Volumes'!$H95</f>
        <v>249.64633249238804</v>
      </c>
      <c r="H19" s="144">
        <f>G19*(1+'Growth Rates'!H19)</f>
        <v>261.9603574426867</v>
      </c>
      <c r="I19" s="144">
        <f>H19*(1+'Growth Rates'!I19)</f>
        <v>264.91572343075842</v>
      </c>
      <c r="J19" s="144">
        <f>I19*(1+'Growth Rates'!J19)</f>
        <v>271.15482940557644</v>
      </c>
      <c r="K19" s="144">
        <f>J19*(1+'Growth Rates'!K19)</f>
        <v>272.9608863982869</v>
      </c>
      <c r="L19" s="144">
        <f>K19*(1+'Growth Rates'!L19)</f>
        <v>274.84903689066607</v>
      </c>
      <c r="M19" s="144">
        <f>L19*(1+'Growth Rates'!M19)</f>
        <v>275.66997188735263</v>
      </c>
      <c r="N19" s="143"/>
      <c r="O19" s="143"/>
      <c r="P19" s="4"/>
      <c r="Q19" s="4"/>
      <c r="R19" s="4"/>
      <c r="S19" s="4"/>
      <c r="T19" s="4"/>
      <c r="U19" s="4"/>
      <c r="V19" s="4"/>
      <c r="W19" s="4"/>
      <c r="X19" s="4"/>
      <c r="Y19" s="4"/>
      <c r="Z19" s="143"/>
      <c r="AA19" s="4"/>
      <c r="AB19" s="4"/>
      <c r="AC19" s="4"/>
    </row>
    <row r="20" spans="1:29" x14ac:dyDescent="0.2">
      <c r="A20" s="4"/>
      <c r="B20" s="68">
        <f>'Historical Expenditure-Volumes'!B96</f>
        <v>118</v>
      </c>
      <c r="C20" s="66">
        <f>'Historical Expenditure-Volumes'!D96</f>
        <v>0.5</v>
      </c>
      <c r="D20" s="66">
        <f>'Historical Expenditure-Volumes'!E96</f>
        <v>0.5</v>
      </c>
      <c r="E20" s="66">
        <f>'Historical Expenditure-Volumes'!F96</f>
        <v>0.5</v>
      </c>
      <c r="F20" s="66">
        <f>'Historical Expenditure-Volumes'!G96</f>
        <v>0</v>
      </c>
      <c r="G20" s="199">
        <f>'Historical Expenditure-Volumes'!$H96</f>
        <v>0.375</v>
      </c>
      <c r="H20" s="144">
        <f>G20*(1+'Growth Rates'!H20)</f>
        <v>0.375</v>
      </c>
      <c r="I20" s="144">
        <f>H20*(1+'Growth Rates'!I20)</f>
        <v>0.375</v>
      </c>
      <c r="J20" s="144">
        <f>I20*(1+'Growth Rates'!J20)</f>
        <v>0.375</v>
      </c>
      <c r="K20" s="144">
        <f>J20*(1+'Growth Rates'!K20)</f>
        <v>0.375</v>
      </c>
      <c r="L20" s="144">
        <f>K20*(1+'Growth Rates'!L20)</f>
        <v>0.375</v>
      </c>
      <c r="M20" s="144">
        <f>L20*(1+'Growth Rates'!M20)</f>
        <v>0.375</v>
      </c>
      <c r="N20" s="143"/>
      <c r="O20" s="143"/>
      <c r="P20" s="4"/>
      <c r="Q20" s="4"/>
      <c r="R20" s="4"/>
      <c r="S20" s="4"/>
      <c r="T20" s="4"/>
      <c r="U20" s="4"/>
      <c r="V20" s="4"/>
      <c r="W20" s="4"/>
      <c r="X20" s="4"/>
      <c r="Y20" s="4"/>
      <c r="Z20" s="143"/>
      <c r="AA20" s="4"/>
      <c r="AB20" s="4"/>
      <c r="AC20" s="4"/>
    </row>
    <row r="21" spans="1:29" x14ac:dyDescent="0.2">
      <c r="A21" s="4"/>
      <c r="B21" s="74" t="s">
        <v>36</v>
      </c>
      <c r="C21" s="58">
        <f t="shared" ref="C21:M21" si="0">SUM(C8:C20)</f>
        <v>3048.9549999999999</v>
      </c>
      <c r="D21" s="58">
        <f t="shared" si="0"/>
        <v>921.45500000000004</v>
      </c>
      <c r="E21" s="58">
        <f t="shared" si="0"/>
        <v>1158</v>
      </c>
      <c r="F21" s="58">
        <f t="shared" si="0"/>
        <v>1602.7260798645925</v>
      </c>
      <c r="G21" s="58">
        <f t="shared" si="0"/>
        <v>1193.2462618853885</v>
      </c>
      <c r="H21" s="58">
        <f t="shared" si="0"/>
        <v>1170.9146042318184</v>
      </c>
      <c r="I21" s="58">
        <f t="shared" si="0"/>
        <v>1177.4848611997536</v>
      </c>
      <c r="J21" s="58">
        <f t="shared" si="0"/>
        <v>1170.2968132871297</v>
      </c>
      <c r="K21" s="58">
        <f t="shared" si="0"/>
        <v>1190.4063811132376</v>
      </c>
      <c r="L21" s="58">
        <f t="shared" si="0"/>
        <v>1213.0904268503582</v>
      </c>
      <c r="M21" s="58">
        <f t="shared" si="0"/>
        <v>1222.1297292153163</v>
      </c>
      <c r="N21" s="143"/>
      <c r="O21" s="143"/>
      <c r="P21" s="4"/>
      <c r="Q21" s="4"/>
      <c r="R21" s="4"/>
      <c r="S21" s="4"/>
      <c r="T21" s="4"/>
      <c r="U21" s="4"/>
      <c r="V21" s="4"/>
      <c r="W21" s="4"/>
      <c r="X21" s="4"/>
      <c r="Y21" s="4"/>
      <c r="Z21" s="143"/>
      <c r="AA21" s="4"/>
      <c r="AB21" s="4"/>
      <c r="AC21" s="4"/>
    </row>
    <row r="22" spans="1:29" x14ac:dyDescent="0.2">
      <c r="A22" s="4"/>
      <c r="B22" s="4" t="s">
        <v>231</v>
      </c>
      <c r="C22" s="198">
        <f>C21-'Historical Expenditure-Volumes'!D97</f>
        <v>0</v>
      </c>
      <c r="D22" s="198">
        <f>D21-'Historical Expenditure-Volumes'!E97</f>
        <v>0</v>
      </c>
      <c r="E22" s="198">
        <f>E21-'Historical Expenditure-Volumes'!F97</f>
        <v>0</v>
      </c>
      <c r="F22" s="198">
        <f>F21-'Historical Expenditure-Volumes'!G97</f>
        <v>0</v>
      </c>
      <c r="G22" s="198">
        <f>G21-'Historical Expenditure-Volumes'!H97</f>
        <v>0</v>
      </c>
      <c r="H22" s="203">
        <f>SUMPRODUCT(G8:G20,1+'Growth Rates'!H8:H20)-H21</f>
        <v>0</v>
      </c>
      <c r="I22" s="203">
        <f>SUMPRODUCT(H8:H20,1+'Growth Rates'!I8:I20)-I21</f>
        <v>0</v>
      </c>
      <c r="J22" s="203">
        <f>SUMPRODUCT(I8:I20,1+'Growth Rates'!J8:J20)-J21</f>
        <v>0</v>
      </c>
      <c r="K22" s="203">
        <f>SUMPRODUCT(J8:J20,1+'Growth Rates'!K8:K20)-K21</f>
        <v>0</v>
      </c>
      <c r="L22" s="203">
        <f>SUMPRODUCT(K8:K20,1+'Growth Rates'!L8:L20)-L21</f>
        <v>0</v>
      </c>
      <c r="M22" s="203">
        <f>SUMPRODUCT(L8:L20,1+'Growth Rates'!M8:M20)-M21</f>
        <v>0</v>
      </c>
      <c r="N22" s="4"/>
      <c r="O22" s="143"/>
      <c r="P22" s="143"/>
      <c r="Q22" s="4"/>
      <c r="R22" s="4"/>
      <c r="S22" s="4"/>
      <c r="T22" s="4"/>
      <c r="U22" s="4"/>
      <c r="V22" s="4"/>
      <c r="W22" s="4"/>
      <c r="X22" s="4"/>
      <c r="Y22" s="4"/>
      <c r="Z22" s="4"/>
      <c r="AA22" s="143"/>
      <c r="AB22" s="4"/>
      <c r="AC22" s="4"/>
    </row>
    <row r="23" spans="1:29" s="125" customFormat="1" x14ac:dyDescent="0.2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43"/>
      <c r="AB23" s="126"/>
      <c r="AC23" s="126"/>
    </row>
    <row r="24" spans="1:29" s="125" customFormat="1" x14ac:dyDescent="0.2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43"/>
      <c r="AB24" s="126"/>
      <c r="AC24" s="126"/>
    </row>
    <row r="25" spans="1:29" s="60" customFormat="1" x14ac:dyDescent="0.2">
      <c r="A25" s="4"/>
      <c r="B25" s="34" t="s">
        <v>337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143"/>
      <c r="AB25" s="4"/>
      <c r="AC25" s="4"/>
    </row>
    <row r="26" spans="1:29" s="60" customFormat="1" x14ac:dyDescent="0.2">
      <c r="A26" s="4"/>
      <c r="B26" s="48" t="s">
        <v>178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80" t="s">
        <v>192</v>
      </c>
      <c r="P26" s="298"/>
      <c r="Q26" s="298"/>
      <c r="R26" s="298"/>
      <c r="S26" s="298"/>
      <c r="T26" s="298"/>
      <c r="U26" s="298"/>
      <c r="V26" s="298"/>
      <c r="W26" s="298"/>
      <c r="X26" s="298"/>
      <c r="Y26" s="282"/>
      <c r="Z26" s="143"/>
      <c r="AA26" s="4"/>
      <c r="AB26" s="4"/>
    </row>
    <row r="27" spans="1:29" s="60" customFormat="1" x14ac:dyDescent="0.2">
      <c r="A27" s="4"/>
      <c r="B27" s="291" t="s">
        <v>32</v>
      </c>
      <c r="C27" s="291"/>
      <c r="D27" s="302" t="s">
        <v>33</v>
      </c>
      <c r="E27" s="302"/>
      <c r="F27" s="302"/>
      <c r="G27" s="302"/>
      <c r="H27" s="302"/>
      <c r="I27" s="302"/>
      <c r="J27" s="302"/>
      <c r="K27" s="302"/>
      <c r="L27" s="302"/>
      <c r="M27" s="302"/>
      <c r="N27" s="79" t="s">
        <v>81</v>
      </c>
      <c r="O27" s="3" t="s">
        <v>325</v>
      </c>
      <c r="P27" s="3" t="s">
        <v>326</v>
      </c>
      <c r="Q27" s="3" t="s">
        <v>327</v>
      </c>
      <c r="R27" s="163" t="s">
        <v>328</v>
      </c>
      <c r="S27" s="163" t="s">
        <v>312</v>
      </c>
      <c r="T27" s="163" t="s">
        <v>313</v>
      </c>
      <c r="U27" s="163" t="s">
        <v>314</v>
      </c>
      <c r="V27" s="163" t="s">
        <v>315</v>
      </c>
      <c r="W27" s="163" t="s">
        <v>316</v>
      </c>
      <c r="X27" s="163" t="s">
        <v>317</v>
      </c>
      <c r="Y27" s="163" t="s">
        <v>318</v>
      </c>
      <c r="Z27" s="143"/>
      <c r="AA27" s="4"/>
      <c r="AB27" s="4"/>
    </row>
    <row r="28" spans="1:29" s="60" customFormat="1" x14ac:dyDescent="0.2">
      <c r="A28" s="4"/>
      <c r="B28" s="301" t="s">
        <v>44</v>
      </c>
      <c r="C28" s="301"/>
      <c r="D28" s="303" t="s">
        <v>45</v>
      </c>
      <c r="E28" s="303"/>
      <c r="F28" s="303"/>
      <c r="G28" s="303"/>
      <c r="H28" s="303"/>
      <c r="I28" s="303"/>
      <c r="J28" s="303"/>
      <c r="K28" s="303"/>
      <c r="L28" s="303"/>
      <c r="M28" s="303"/>
      <c r="N28" s="55" t="s">
        <v>46</v>
      </c>
      <c r="O28" s="93">
        <f>SUMPRODUCT(C8:C20,'Function Code Mapping'!$D$26:$D$38)</f>
        <v>1668.5</v>
      </c>
      <c r="P28" s="92">
        <f>SUMPRODUCT(D8:D20,'Function Code Mapping'!$D$26:$D$38)</f>
        <v>0</v>
      </c>
      <c r="Q28" s="92">
        <f>SUMPRODUCT(E8:E20,'Function Code Mapping'!$D$26:$D$38)</f>
        <v>0</v>
      </c>
      <c r="R28" s="92">
        <f>SUMPRODUCT(F8:F20,'Function Code Mapping'!$D$26:$D$38)</f>
        <v>0</v>
      </c>
      <c r="S28" s="92">
        <f>SUMPRODUCT(G8:G20,'Function Code Mapping'!$D$26:$D$38)</f>
        <v>0</v>
      </c>
      <c r="T28" s="92">
        <f>SUMPRODUCT(H8:H20,'Function Code Mapping'!$D$26:$D$38)</f>
        <v>0</v>
      </c>
      <c r="U28" s="92">
        <f>SUMPRODUCT(I8:I20,'Function Code Mapping'!$D$26:$D$38)</f>
        <v>0</v>
      </c>
      <c r="V28" s="92">
        <f>SUMPRODUCT(J8:J20,'Function Code Mapping'!$D$26:$D$38)</f>
        <v>0</v>
      </c>
      <c r="W28" s="92">
        <f>SUMPRODUCT(K8:K20,'Function Code Mapping'!$D$26:$D$38)</f>
        <v>0</v>
      </c>
      <c r="X28" s="92">
        <f>SUMPRODUCT(L8:L20,'Function Code Mapping'!$D$26:$D$38)</f>
        <v>0</v>
      </c>
      <c r="Y28" s="92">
        <f>SUMPRODUCT(M8:M20,'Function Code Mapping'!$D$26:$D$38)</f>
        <v>0</v>
      </c>
      <c r="Z28" s="143"/>
      <c r="AA28" s="4"/>
      <c r="AB28" s="4"/>
    </row>
    <row r="29" spans="1:29" s="60" customFormat="1" x14ac:dyDescent="0.2">
      <c r="A29" s="4"/>
      <c r="B29" s="301"/>
      <c r="C29" s="301"/>
      <c r="D29" s="303" t="s">
        <v>47</v>
      </c>
      <c r="E29" s="303"/>
      <c r="F29" s="303"/>
      <c r="G29" s="303"/>
      <c r="H29" s="303"/>
      <c r="I29" s="303"/>
      <c r="J29" s="303"/>
      <c r="K29" s="303"/>
      <c r="L29" s="303"/>
      <c r="M29" s="303"/>
      <c r="N29" s="55" t="s">
        <v>48</v>
      </c>
      <c r="O29" s="93">
        <f>SUMPRODUCT(C8:C20,'Function Code Mapping'!$E$26:$E$38)</f>
        <v>321.60000000000002</v>
      </c>
      <c r="P29" s="93">
        <f>SUMPRODUCT(D8:D20,'Function Code Mapping'!$E$26:$E$38)</f>
        <v>574.25</v>
      </c>
      <c r="Q29" s="93">
        <f>SUMPRODUCT(E8:E20,'Function Code Mapping'!$E$26:$E$38)</f>
        <v>694.45</v>
      </c>
      <c r="R29" s="93">
        <f>SUMPRODUCT(F8:F20,'Function Code Mapping'!$E$26:$E$38)</f>
        <v>1005.3275068967764</v>
      </c>
      <c r="S29" s="93">
        <f>SUMPRODUCT(G8:G20,'Function Code Mapping'!$E$26:$E$38)</f>
        <v>742.61911864343449</v>
      </c>
      <c r="T29" s="93">
        <f>SUMPRODUCT(H8:H20,'Function Code Mapping'!$E$26:$E$38)</f>
        <v>716.72963324342732</v>
      </c>
      <c r="U29" s="93">
        <f>SUMPRODUCT(I8:I20,'Function Code Mapping'!$E$26:$E$38)</f>
        <v>726.390214983536</v>
      </c>
      <c r="V29" s="93">
        <f>SUMPRODUCT(J8:J20,'Function Code Mapping'!$E$26:$E$38)</f>
        <v>725.34726153171187</v>
      </c>
      <c r="W29" s="93">
        <f>SUMPRODUCT(K8:K20,'Function Code Mapping'!$E$26:$E$38)</f>
        <v>736.32749728790293</v>
      </c>
      <c r="X29" s="93">
        <f>SUMPRODUCT(L8:L20,'Function Code Mapping'!$E$26:$E$38)</f>
        <v>748.02316652666991</v>
      </c>
      <c r="Y29" s="93">
        <f>SUMPRODUCT(M8:M20,'Function Code Mapping'!$E$26:$E$38)</f>
        <v>753.84380146644526</v>
      </c>
      <c r="Z29" s="143"/>
      <c r="AA29" s="4"/>
      <c r="AB29" s="4"/>
    </row>
    <row r="30" spans="1:29" s="60" customFormat="1" x14ac:dyDescent="0.2">
      <c r="A30" s="4"/>
      <c r="B30" s="301"/>
      <c r="C30" s="301"/>
      <c r="D30" s="303" t="s">
        <v>49</v>
      </c>
      <c r="E30" s="303"/>
      <c r="F30" s="303"/>
      <c r="G30" s="303"/>
      <c r="H30" s="303"/>
      <c r="I30" s="303"/>
      <c r="J30" s="303"/>
      <c r="K30" s="303"/>
      <c r="L30" s="303"/>
      <c r="M30" s="303"/>
      <c r="N30" s="55" t="s">
        <v>50</v>
      </c>
      <c r="O30" s="93">
        <f>SUMPRODUCT(C8:C20,'Function Code Mapping'!$F$26:$F$38)</f>
        <v>68.775000000000006</v>
      </c>
      <c r="P30" s="93">
        <f>SUMPRODUCT(D8:D20,'Function Code Mapping'!$F$26:$F$38)</f>
        <v>63.95</v>
      </c>
      <c r="Q30" s="93">
        <f>SUMPRODUCT(E8:E20,'Function Code Mapping'!$F$26:$F$38)</f>
        <v>135.80000000000001</v>
      </c>
      <c r="R30" s="93">
        <f>SUMPRODUCT(F8:F20,'Function Code Mapping'!$F$26:$F$38)</f>
        <v>200.5925715170664</v>
      </c>
      <c r="S30" s="93">
        <f>SUMPRODUCT(G8:G20,'Function Code Mapping'!$F$26:$F$38)</f>
        <v>117.2793928792666</v>
      </c>
      <c r="T30" s="93">
        <f>SUMPRODUCT(H8:H20,'Function Code Mapping'!$F$26:$F$38)</f>
        <v>111.70467812560611</v>
      </c>
      <c r="U30" s="93">
        <f>SUMPRODUCT(I8:I20,'Function Code Mapping'!$F$26:$F$38)</f>
        <v>108.04892660106445</v>
      </c>
      <c r="V30" s="93">
        <f>SUMPRODUCT(J8:J20,'Function Code Mapping'!$F$26:$F$38)</f>
        <v>102.27159089204997</v>
      </c>
      <c r="W30" s="93">
        <f>SUMPRODUCT(K8:K20,'Function Code Mapping'!$F$26:$F$38)</f>
        <v>107.27506411024615</v>
      </c>
      <c r="X30" s="93">
        <f>SUMPRODUCT(L8:L20,'Function Code Mapping'!$F$26:$F$38)</f>
        <v>112.31251224449633</v>
      </c>
      <c r="Y30" s="93">
        <f>SUMPRODUCT(M8:M20,'Function Code Mapping'!$F$26:$F$38)</f>
        <v>113.67939655329891</v>
      </c>
      <c r="Z30" s="143"/>
      <c r="AA30" s="4"/>
      <c r="AB30" s="4"/>
    </row>
    <row r="31" spans="1:29" s="60" customFormat="1" x14ac:dyDescent="0.2">
      <c r="A31" s="4"/>
      <c r="B31" s="300" t="s">
        <v>177</v>
      </c>
      <c r="C31" s="300"/>
      <c r="D31" s="304" t="s">
        <v>45</v>
      </c>
      <c r="E31" s="304"/>
      <c r="F31" s="304"/>
      <c r="G31" s="304"/>
      <c r="H31" s="304"/>
      <c r="I31" s="304"/>
      <c r="J31" s="304"/>
      <c r="K31" s="304"/>
      <c r="L31" s="304"/>
      <c r="M31" s="304"/>
      <c r="N31" s="56" t="s">
        <v>51</v>
      </c>
      <c r="O31" s="93">
        <f>SUMPRODUCT(C8:C20,'Function Code Mapping'!$G$26:$G$38)</f>
        <v>683.07500000000005</v>
      </c>
      <c r="P31" s="93">
        <f>SUMPRODUCT(D8:D20,'Function Code Mapping'!$G$26:$G$38)</f>
        <v>21.55</v>
      </c>
      <c r="Q31" s="93">
        <f>SUMPRODUCT(E8:E20,'Function Code Mapping'!$G$26:$G$38)</f>
        <v>31.05</v>
      </c>
      <c r="R31" s="93">
        <f>SUMPRODUCT(F8:F20,'Function Code Mapping'!$G$26:$G$38)</f>
        <v>39.912970594951609</v>
      </c>
      <c r="S31" s="93">
        <f>SUMPRODUCT(G8:G20,'Function Code Mapping'!$G$26:$G$38)</f>
        <v>27.771992648737903</v>
      </c>
      <c r="T31" s="93">
        <f>SUMPRODUCT(H8:H20,'Function Code Mapping'!$G$26:$G$38)</f>
        <v>27.104449626967313</v>
      </c>
      <c r="U31" s="93">
        <f>SUMPRODUCT(I8:I20,'Function Code Mapping'!$G$26:$G$38)</f>
        <v>26.472336285937011</v>
      </c>
      <c r="V31" s="93">
        <f>SUMPRODUCT(J8:J20,'Function Code Mapping'!$G$26:$G$38)</f>
        <v>22.879008414980699</v>
      </c>
      <c r="W31" s="93">
        <f>SUMPRODUCT(K8:K20,'Function Code Mapping'!$G$26:$G$38)</f>
        <v>22.997352834308451</v>
      </c>
      <c r="X31" s="93">
        <f>SUMPRODUCT(L8:L20,'Function Code Mapping'!$G$26:$G$38)</f>
        <v>24.678250983929686</v>
      </c>
      <c r="Y31" s="93">
        <f>SUMPRODUCT(M8:M20,'Function Code Mapping'!$G$26:$G$38)</f>
        <v>25.09731907745244</v>
      </c>
      <c r="Z31" s="143"/>
      <c r="AA31" s="4"/>
      <c r="AB31" s="4"/>
    </row>
    <row r="32" spans="1:29" s="60" customFormat="1" x14ac:dyDescent="0.2">
      <c r="A32" s="4"/>
      <c r="B32" s="300"/>
      <c r="C32" s="300"/>
      <c r="D32" s="304" t="s">
        <v>52</v>
      </c>
      <c r="E32" s="304"/>
      <c r="F32" s="304"/>
      <c r="G32" s="304"/>
      <c r="H32" s="304"/>
      <c r="I32" s="304"/>
      <c r="J32" s="304"/>
      <c r="K32" s="304"/>
      <c r="L32" s="304"/>
      <c r="M32" s="304"/>
      <c r="N32" s="56" t="s">
        <v>53</v>
      </c>
      <c r="O32" s="93">
        <f>SUMPRODUCT(C8:C20,'Function Code Mapping'!$H$26:$H$38)</f>
        <v>0</v>
      </c>
      <c r="P32" s="93">
        <f>SUMPRODUCT(D8:D20,'Function Code Mapping'!$H$26:$H$38)</f>
        <v>0</v>
      </c>
      <c r="Q32" s="93">
        <f>SUMPRODUCT(E8:E20,'Function Code Mapping'!$H$26:$H$38)</f>
        <v>0</v>
      </c>
      <c r="R32" s="93">
        <f>SUMPRODUCT(F8:F20,'Function Code Mapping'!$H$26:$H$38)</f>
        <v>0</v>
      </c>
      <c r="S32" s="93">
        <f>SUMPRODUCT(G8:G20,'Function Code Mapping'!$H$26:$H$38)</f>
        <v>0</v>
      </c>
      <c r="T32" s="93">
        <f>SUMPRODUCT(H8:H20,'Function Code Mapping'!$H$26:$H$38)</f>
        <v>0</v>
      </c>
      <c r="U32" s="93">
        <f>SUMPRODUCT(I8:I20,'Function Code Mapping'!$H$26:$H$38)</f>
        <v>0</v>
      </c>
      <c r="V32" s="93">
        <f>SUMPRODUCT(J8:J20,'Function Code Mapping'!$H$26:$H$38)</f>
        <v>0</v>
      </c>
      <c r="W32" s="93">
        <f>SUMPRODUCT(K8:K20,'Function Code Mapping'!$H$26:$H$38)</f>
        <v>0</v>
      </c>
      <c r="X32" s="93">
        <f>SUMPRODUCT(L8:L20,'Function Code Mapping'!$H$26:$H$38)</f>
        <v>0</v>
      </c>
      <c r="Y32" s="93">
        <f>SUMPRODUCT(M8:M20,'Function Code Mapping'!$H$26:$H$38)</f>
        <v>0</v>
      </c>
      <c r="Z32" s="143"/>
      <c r="AA32" s="4"/>
      <c r="AB32" s="4"/>
    </row>
    <row r="33" spans="1:29" s="60" customFormat="1" x14ac:dyDescent="0.2">
      <c r="A33" s="4"/>
      <c r="B33" s="300"/>
      <c r="C33" s="300"/>
      <c r="D33" s="304" t="s">
        <v>54</v>
      </c>
      <c r="E33" s="304"/>
      <c r="F33" s="304"/>
      <c r="G33" s="304"/>
      <c r="H33" s="304"/>
      <c r="I33" s="304"/>
      <c r="J33" s="304"/>
      <c r="K33" s="304"/>
      <c r="L33" s="304"/>
      <c r="M33" s="304"/>
      <c r="N33" s="56" t="s">
        <v>55</v>
      </c>
      <c r="O33" s="93">
        <f>SUMPRODUCT(C8:C20,'Function Code Mapping'!$I$26:$I$38)</f>
        <v>29.549999999999997</v>
      </c>
      <c r="P33" s="93">
        <f>SUMPRODUCT(D8:D20,'Function Code Mapping'!$I$26:$I$38)</f>
        <v>27.75</v>
      </c>
      <c r="Q33" s="93">
        <f>SUMPRODUCT(E8:E20,'Function Code Mapping'!$I$26:$I$38)</f>
        <v>59.7</v>
      </c>
      <c r="R33" s="93">
        <f>SUMPRODUCT(F8:F20,'Function Code Mapping'!$I$26:$I$38)</f>
        <v>89.151891312394582</v>
      </c>
      <c r="S33" s="93">
        <f>SUMPRODUCT(G8:G20,'Function Code Mapping'!$I$26:$I$38)</f>
        <v>51.537972828098646</v>
      </c>
      <c r="T33" s="93">
        <f>SUMPRODUCT(H8:H20,'Function Code Mapping'!$I$26:$I$38)</f>
        <v>49.024033399668134</v>
      </c>
      <c r="U33" s="93">
        <f>SUMPRODUCT(I8:I20,'Function Code Mapping'!$I$26:$I$38)</f>
        <v>47.266207504994846</v>
      </c>
      <c r="V33" s="93">
        <f>SUMPRODUCT(J8:J20,'Function Code Mapping'!$I$26:$I$38)</f>
        <v>44.252670649347962</v>
      </c>
      <c r="W33" s="93">
        <f>SUMPRODUCT(K8:K20,'Function Code Mapping'!$I$26:$I$38)</f>
        <v>46.454128089030327</v>
      </c>
      <c r="X33" s="93">
        <f>SUMPRODUCT(L8:L20,'Function Code Mapping'!$I$26:$I$38)</f>
        <v>48.836007811133385</v>
      </c>
      <c r="Y33" s="93">
        <f>SUMPRODUCT(M8:M20,'Function Code Mapping'!$I$26:$I$38)</f>
        <v>49.447787837304304</v>
      </c>
      <c r="Z33" s="143"/>
      <c r="AA33" s="4"/>
      <c r="AB33" s="4"/>
    </row>
    <row r="34" spans="1:29" s="60" customFormat="1" x14ac:dyDescent="0.2">
      <c r="A34" s="4"/>
      <c r="B34" s="300"/>
      <c r="C34" s="300"/>
      <c r="D34" s="304" t="s">
        <v>56</v>
      </c>
      <c r="E34" s="304"/>
      <c r="F34" s="304"/>
      <c r="G34" s="304"/>
      <c r="H34" s="304"/>
      <c r="I34" s="304"/>
      <c r="J34" s="304"/>
      <c r="K34" s="304"/>
      <c r="L34" s="304"/>
      <c r="M34" s="304"/>
      <c r="N34" s="56" t="s">
        <v>57</v>
      </c>
      <c r="O34" s="93">
        <f>SUMPRODUCT(C8:C20,'Function Code Mapping'!$J$26:$J$38)</f>
        <v>2</v>
      </c>
      <c r="P34" s="93">
        <f>SUMPRODUCT(D8:D20,'Function Code Mapping'!$J$26:$J$38)</f>
        <v>3</v>
      </c>
      <c r="Q34" s="93">
        <f>SUMPRODUCT(E8:E20,'Function Code Mapping'!$J$26:$J$38)</f>
        <v>2.5</v>
      </c>
      <c r="R34" s="93">
        <f>SUMPRODUCT(F8:F20,'Function Code Mapping'!$J$26:$J$38)</f>
        <v>4.065809573851352</v>
      </c>
      <c r="S34" s="93">
        <f>SUMPRODUCT(G8:G20,'Function Code Mapping'!$J$26:$J$38)</f>
        <v>2.891452393462838</v>
      </c>
      <c r="T34" s="93">
        <f>SUMPRODUCT(H8:H20,'Function Code Mapping'!$J$26:$J$38)</f>
        <v>2.891452393462838</v>
      </c>
      <c r="U34" s="93">
        <f>SUMPRODUCT(I8:I20,'Function Code Mapping'!$J$26:$J$38)</f>
        <v>2.891452393462838</v>
      </c>
      <c r="V34" s="93">
        <f>SUMPRODUCT(J8:J20,'Function Code Mapping'!$J$26:$J$38)</f>
        <v>2.891452393462838</v>
      </c>
      <c r="W34" s="93">
        <f>SUMPRODUCT(K8:K20,'Function Code Mapping'!$J$26:$J$38)</f>
        <v>2.891452393462838</v>
      </c>
      <c r="X34" s="93">
        <f>SUMPRODUCT(L8:L20,'Function Code Mapping'!$J$26:$J$38)</f>
        <v>2.891452393462838</v>
      </c>
      <c r="Y34" s="93">
        <f>SUMPRODUCT(M8:M20,'Function Code Mapping'!$J$26:$J$38)</f>
        <v>2.891452393462838</v>
      </c>
      <c r="Z34" s="143"/>
      <c r="AA34" s="4"/>
      <c r="AB34" s="4"/>
    </row>
    <row r="35" spans="1:29" s="60" customFormat="1" x14ac:dyDescent="0.2">
      <c r="A35" s="4"/>
      <c r="B35" s="300"/>
      <c r="C35" s="300"/>
      <c r="D35" s="304" t="s">
        <v>58</v>
      </c>
      <c r="E35" s="304"/>
      <c r="F35" s="304"/>
      <c r="G35" s="304"/>
      <c r="H35" s="304"/>
      <c r="I35" s="304"/>
      <c r="J35" s="304"/>
      <c r="K35" s="304"/>
      <c r="L35" s="304"/>
      <c r="M35" s="304"/>
      <c r="N35" s="56" t="s">
        <v>59</v>
      </c>
      <c r="O35" s="93">
        <f>SUMPRODUCT(C8:C20,'Function Code Mapping'!$K$26:$K$38)</f>
        <v>0</v>
      </c>
      <c r="P35" s="93">
        <f>SUMPRODUCT(D8:D20,'Function Code Mapping'!$K$26:$K$38)</f>
        <v>0</v>
      </c>
      <c r="Q35" s="93">
        <f>SUMPRODUCT(E8:E20,'Function Code Mapping'!$K$26:$K$38)</f>
        <v>0</v>
      </c>
      <c r="R35" s="93">
        <f>SUMPRODUCT(F8:F20,'Function Code Mapping'!$K$26:$K$38)</f>
        <v>0</v>
      </c>
      <c r="S35" s="93">
        <f>SUMPRODUCT(G8:G20,'Function Code Mapping'!$K$26:$K$38)</f>
        <v>0</v>
      </c>
      <c r="T35" s="93">
        <f>SUMPRODUCT(H8:H20,'Function Code Mapping'!$K$26:$K$38)</f>
        <v>0</v>
      </c>
      <c r="U35" s="93">
        <f>SUMPRODUCT(I8:I20,'Function Code Mapping'!$K$26:$K$38)</f>
        <v>0</v>
      </c>
      <c r="V35" s="93">
        <f>SUMPRODUCT(J8:J20,'Function Code Mapping'!$K$26:$K$38)</f>
        <v>0</v>
      </c>
      <c r="W35" s="93">
        <f>SUMPRODUCT(K8:K20,'Function Code Mapping'!$K$26:$K$38)</f>
        <v>0</v>
      </c>
      <c r="X35" s="93">
        <f>SUMPRODUCT(L8:L20,'Function Code Mapping'!$K$26:$K$38)</f>
        <v>0</v>
      </c>
      <c r="Y35" s="93">
        <f>SUMPRODUCT(M8:M20,'Function Code Mapping'!$K$26:$K$38)</f>
        <v>0</v>
      </c>
      <c r="Z35" s="143"/>
      <c r="AA35" s="4"/>
      <c r="AB35" s="4"/>
    </row>
    <row r="36" spans="1:29" s="60" customFormat="1" x14ac:dyDescent="0.2">
      <c r="A36" s="4"/>
      <c r="B36" s="301" t="s">
        <v>60</v>
      </c>
      <c r="C36" s="301"/>
      <c r="D36" s="303" t="s">
        <v>47</v>
      </c>
      <c r="E36" s="303"/>
      <c r="F36" s="303"/>
      <c r="G36" s="303"/>
      <c r="H36" s="303"/>
      <c r="I36" s="303"/>
      <c r="J36" s="303"/>
      <c r="K36" s="303"/>
      <c r="L36" s="303"/>
      <c r="M36" s="303"/>
      <c r="N36" s="55" t="s">
        <v>61</v>
      </c>
      <c r="O36" s="93">
        <f>SUMPRODUCT(C8:C20,'Function Code Mapping'!$L$26:$L$38)</f>
        <v>0</v>
      </c>
      <c r="P36" s="93">
        <f>SUMPRODUCT(D8:D20,'Function Code Mapping'!$L$26:$L$38)</f>
        <v>0</v>
      </c>
      <c r="Q36" s="93">
        <f>SUMPRODUCT(E8:E20,'Function Code Mapping'!$L$26:$L$38)</f>
        <v>0</v>
      </c>
      <c r="R36" s="93">
        <f>SUMPRODUCT(F8:F20,'Function Code Mapping'!$L$26:$L$38)</f>
        <v>0</v>
      </c>
      <c r="S36" s="93">
        <f>SUMPRODUCT(G8:G20,'Function Code Mapping'!$L$26:$L$38)</f>
        <v>0</v>
      </c>
      <c r="T36" s="93">
        <f>SUMPRODUCT(H8:H20,'Function Code Mapping'!$L$26:$L$38)</f>
        <v>0</v>
      </c>
      <c r="U36" s="93">
        <f>SUMPRODUCT(I8:I20,'Function Code Mapping'!$L$26:$L$38)</f>
        <v>0</v>
      </c>
      <c r="V36" s="93">
        <f>SUMPRODUCT(J8:J20,'Function Code Mapping'!$L$26:$L$38)</f>
        <v>0</v>
      </c>
      <c r="W36" s="93">
        <f>SUMPRODUCT(K8:K20,'Function Code Mapping'!$L$26:$L$38)</f>
        <v>0</v>
      </c>
      <c r="X36" s="93">
        <f>SUMPRODUCT(L8:L20,'Function Code Mapping'!$L$26:$L$38)</f>
        <v>0</v>
      </c>
      <c r="Y36" s="93">
        <f>SUMPRODUCT(M8:M20,'Function Code Mapping'!$L$26:$L$38)</f>
        <v>0</v>
      </c>
      <c r="Z36" s="143"/>
      <c r="AA36" s="4"/>
      <c r="AB36" s="4"/>
    </row>
    <row r="37" spans="1:29" s="60" customFormat="1" x14ac:dyDescent="0.2">
      <c r="A37" s="4"/>
      <c r="B37" s="301"/>
      <c r="C37" s="301"/>
      <c r="D37" s="303" t="s">
        <v>62</v>
      </c>
      <c r="E37" s="303"/>
      <c r="F37" s="303"/>
      <c r="G37" s="303"/>
      <c r="H37" s="303"/>
      <c r="I37" s="303"/>
      <c r="J37" s="303"/>
      <c r="K37" s="303"/>
      <c r="L37" s="303"/>
      <c r="M37" s="303"/>
      <c r="N37" s="55" t="s">
        <v>63</v>
      </c>
      <c r="O37" s="93">
        <f>SUMPRODUCT(C8:C20,'Function Code Mapping'!$M$26:$M$38)</f>
        <v>0</v>
      </c>
      <c r="P37" s="93">
        <f>SUMPRODUCT(D8:D20,'Function Code Mapping'!$M$26:$M$38)</f>
        <v>0</v>
      </c>
      <c r="Q37" s="93">
        <f>SUMPRODUCT(E8:E20,'Function Code Mapping'!$M$26:$M$38)</f>
        <v>0</v>
      </c>
      <c r="R37" s="93">
        <f>SUMPRODUCT(F8:F20,'Function Code Mapping'!$M$26:$M$38)</f>
        <v>0</v>
      </c>
      <c r="S37" s="93">
        <f>SUMPRODUCT(G8:G20,'Function Code Mapping'!$M$26:$M$38)</f>
        <v>0</v>
      </c>
      <c r="T37" s="93">
        <f>SUMPRODUCT(H8:H20,'Function Code Mapping'!$M$26:$M$38)</f>
        <v>0</v>
      </c>
      <c r="U37" s="93">
        <f>SUMPRODUCT(I8:I20,'Function Code Mapping'!$M$26:$M$38)</f>
        <v>0</v>
      </c>
      <c r="V37" s="93">
        <f>SUMPRODUCT(J8:J20,'Function Code Mapping'!$M$26:$M$38)</f>
        <v>0</v>
      </c>
      <c r="W37" s="93">
        <f>SUMPRODUCT(K8:K20,'Function Code Mapping'!$M$26:$M$38)</f>
        <v>0</v>
      </c>
      <c r="X37" s="93">
        <f>SUMPRODUCT(L8:L20,'Function Code Mapping'!$M$26:$M$38)</f>
        <v>0</v>
      </c>
      <c r="Y37" s="93">
        <f>SUMPRODUCT(M8:M20,'Function Code Mapping'!$M$26:$M$38)</f>
        <v>0</v>
      </c>
      <c r="Z37" s="143"/>
      <c r="AA37" s="4"/>
      <c r="AB37" s="4"/>
    </row>
    <row r="38" spans="1:29" s="60" customFormat="1" x14ac:dyDescent="0.2">
      <c r="A38" s="4"/>
      <c r="B38" s="301"/>
      <c r="C38" s="301"/>
      <c r="D38" s="303" t="s">
        <v>64</v>
      </c>
      <c r="E38" s="303"/>
      <c r="F38" s="303"/>
      <c r="G38" s="303"/>
      <c r="H38" s="303"/>
      <c r="I38" s="303"/>
      <c r="J38" s="303"/>
      <c r="K38" s="303"/>
      <c r="L38" s="303"/>
      <c r="M38" s="303"/>
      <c r="N38" s="55" t="s">
        <v>65</v>
      </c>
      <c r="O38" s="93">
        <f>SUMPRODUCT(C8:C20,'Function Code Mapping'!$N$26:$N$38)</f>
        <v>1.5</v>
      </c>
      <c r="P38" s="93">
        <f>SUMPRODUCT(D8:D20,'Function Code Mapping'!$N$26:$N$38)</f>
        <v>2</v>
      </c>
      <c r="Q38" s="93">
        <f>SUMPRODUCT(E8:E20,'Function Code Mapping'!$N$26:$N$38)</f>
        <v>1</v>
      </c>
      <c r="R38" s="93">
        <f>SUMPRODUCT(F8:F20,'Function Code Mapping'!$N$26:$N$38)</f>
        <v>0</v>
      </c>
      <c r="S38" s="93">
        <f>SUMPRODUCT(G8:G20,'Function Code Mapping'!$N$26:$N$38)</f>
        <v>1.125</v>
      </c>
      <c r="T38" s="93">
        <f>SUMPRODUCT(H8:H20,'Function Code Mapping'!$N$26:$N$38)</f>
        <v>1.125</v>
      </c>
      <c r="U38" s="93">
        <f>SUMPRODUCT(I8:I20,'Function Code Mapping'!$N$26:$N$38)</f>
        <v>1.125</v>
      </c>
      <c r="V38" s="93">
        <f>SUMPRODUCT(J8:J20,'Function Code Mapping'!$N$26:$N$38)</f>
        <v>1.125</v>
      </c>
      <c r="W38" s="93">
        <f>SUMPRODUCT(K8:K20,'Function Code Mapping'!$N$26:$N$38)</f>
        <v>1.125</v>
      </c>
      <c r="X38" s="93">
        <f>SUMPRODUCT(L8:L20,'Function Code Mapping'!$N$26:$N$38)</f>
        <v>1.125</v>
      </c>
      <c r="Y38" s="93">
        <f>SUMPRODUCT(M8:M20,'Function Code Mapping'!$N$26:$N$38)</f>
        <v>1.125</v>
      </c>
      <c r="Z38" s="143"/>
      <c r="AA38" s="4"/>
      <c r="AB38" s="4"/>
    </row>
    <row r="39" spans="1:29" s="60" customFormat="1" x14ac:dyDescent="0.2">
      <c r="A39" s="4"/>
      <c r="B39" s="299" t="s">
        <v>66</v>
      </c>
      <c r="C39" s="299"/>
      <c r="D39" s="304" t="s">
        <v>45</v>
      </c>
      <c r="E39" s="304"/>
      <c r="F39" s="304"/>
      <c r="G39" s="304"/>
      <c r="H39" s="304"/>
      <c r="I39" s="304"/>
      <c r="J39" s="304"/>
      <c r="K39" s="304"/>
      <c r="L39" s="304"/>
      <c r="M39" s="304"/>
      <c r="N39" s="57" t="s">
        <v>67</v>
      </c>
      <c r="O39" s="93">
        <f>SUMPRODUCT(C8:C20,'Function Code Mapping'!$O$26:$O$38)</f>
        <v>0</v>
      </c>
      <c r="P39" s="93">
        <f>SUMPRODUCT(D8:D20,'Function Code Mapping'!$O$26:$O$38)</f>
        <v>0</v>
      </c>
      <c r="Q39" s="93">
        <f>SUMPRODUCT(E8:E20,'Function Code Mapping'!$O$26:$O$38)</f>
        <v>0</v>
      </c>
      <c r="R39" s="93">
        <f>SUMPRODUCT(F8:F20,'Function Code Mapping'!$O$26:$O$38)</f>
        <v>0</v>
      </c>
      <c r="S39" s="93">
        <f>SUMPRODUCT(G8:G20,'Function Code Mapping'!$O$26:$O$38)</f>
        <v>0</v>
      </c>
      <c r="T39" s="93">
        <f>SUMPRODUCT(H8:H20,'Function Code Mapping'!$O$26:$O$38)</f>
        <v>0</v>
      </c>
      <c r="U39" s="93">
        <f>SUMPRODUCT(I8:I20,'Function Code Mapping'!$O$26:$O$38)</f>
        <v>0</v>
      </c>
      <c r="V39" s="93">
        <f>SUMPRODUCT(J8:J20,'Function Code Mapping'!$O$26:$O$38)</f>
        <v>0</v>
      </c>
      <c r="W39" s="93">
        <f>SUMPRODUCT(K8:K20,'Function Code Mapping'!$O$26:$O$38)</f>
        <v>0</v>
      </c>
      <c r="X39" s="93">
        <f>SUMPRODUCT(L8:L20,'Function Code Mapping'!$O$26:$O$38)</f>
        <v>0</v>
      </c>
      <c r="Y39" s="93">
        <f>SUMPRODUCT(M8:M20,'Function Code Mapping'!$O$26:$O$38)</f>
        <v>0</v>
      </c>
      <c r="Z39" s="143"/>
      <c r="AA39" s="4"/>
      <c r="AB39" s="4"/>
    </row>
    <row r="40" spans="1:29" s="60" customFormat="1" x14ac:dyDescent="0.2">
      <c r="A40" s="4"/>
      <c r="B40" s="299"/>
      <c r="C40" s="299"/>
      <c r="D40" s="304" t="s">
        <v>68</v>
      </c>
      <c r="E40" s="304"/>
      <c r="F40" s="304"/>
      <c r="G40" s="304"/>
      <c r="H40" s="304"/>
      <c r="I40" s="304"/>
      <c r="J40" s="304"/>
      <c r="K40" s="304"/>
      <c r="L40" s="304"/>
      <c r="M40" s="304"/>
      <c r="N40" s="57" t="s">
        <v>69</v>
      </c>
      <c r="O40" s="93">
        <f>SUMPRODUCT(C8:C20,'Function Code Mapping'!$P$26:$P$38)</f>
        <v>0.5</v>
      </c>
      <c r="P40" s="93">
        <f>SUMPRODUCT(D8:D20,'Function Code Mapping'!$P$26:$P$38)</f>
        <v>0.5</v>
      </c>
      <c r="Q40" s="93">
        <f>SUMPRODUCT(E8:E20,'Function Code Mapping'!$P$26:$P$38)</f>
        <v>0.5</v>
      </c>
      <c r="R40" s="93">
        <f>SUMPRODUCT(F8:F20,'Function Code Mapping'!$P$26:$P$38)</f>
        <v>0</v>
      </c>
      <c r="S40" s="93">
        <f>SUMPRODUCT(G8:G20,'Function Code Mapping'!$P$26:$P$38)</f>
        <v>0.375</v>
      </c>
      <c r="T40" s="93">
        <f>SUMPRODUCT(H8:H20,'Function Code Mapping'!$P$26:$P$38)</f>
        <v>0.375</v>
      </c>
      <c r="U40" s="93">
        <f>SUMPRODUCT(I8:I20,'Function Code Mapping'!$P$26:$P$38)</f>
        <v>0.375</v>
      </c>
      <c r="V40" s="93">
        <f>SUMPRODUCT(J8:J20,'Function Code Mapping'!$P$26:$P$38)</f>
        <v>0.375</v>
      </c>
      <c r="W40" s="93">
        <f>SUMPRODUCT(K8:K20,'Function Code Mapping'!$P$26:$P$38)</f>
        <v>0.375</v>
      </c>
      <c r="X40" s="93">
        <f>SUMPRODUCT(L8:L20,'Function Code Mapping'!$P$26:$P$38)</f>
        <v>0.375</v>
      </c>
      <c r="Y40" s="93">
        <f>SUMPRODUCT(M8:M20,'Function Code Mapping'!$P$26:$P$38)</f>
        <v>0.375</v>
      </c>
      <c r="Z40" s="143"/>
      <c r="AA40" s="4"/>
      <c r="AB40" s="4"/>
    </row>
    <row r="41" spans="1:29" s="60" customFormat="1" x14ac:dyDescent="0.2">
      <c r="A41" s="4"/>
      <c r="B41" s="299"/>
      <c r="C41" s="299"/>
      <c r="D41" s="304" t="s">
        <v>70</v>
      </c>
      <c r="E41" s="304"/>
      <c r="F41" s="304"/>
      <c r="G41" s="304"/>
      <c r="H41" s="304"/>
      <c r="I41" s="304"/>
      <c r="J41" s="304"/>
      <c r="K41" s="304"/>
      <c r="L41" s="304"/>
      <c r="M41" s="304"/>
      <c r="N41" s="57" t="s">
        <v>71</v>
      </c>
      <c r="O41" s="93">
        <f>SUMPRODUCT(C8:C20,'Function Code Mapping'!$Q$26:$Q$38)</f>
        <v>0</v>
      </c>
      <c r="P41" s="93">
        <f>SUMPRODUCT(D8:D20,'Function Code Mapping'!$Q$26:$Q$38)</f>
        <v>0</v>
      </c>
      <c r="Q41" s="93">
        <f>SUMPRODUCT(E8:E20,'Function Code Mapping'!$Q$26:$Q$38)</f>
        <v>0</v>
      </c>
      <c r="R41" s="93">
        <f>SUMPRODUCT(F8:F20,'Function Code Mapping'!$Q$26:$Q$38)</f>
        <v>0</v>
      </c>
      <c r="S41" s="93">
        <f>SUMPRODUCT(G8:G20,'Function Code Mapping'!$Q$26:$Q$38)</f>
        <v>0</v>
      </c>
      <c r="T41" s="93">
        <f>SUMPRODUCT(H8:H20,'Function Code Mapping'!$Q$26:$Q$38)</f>
        <v>0</v>
      </c>
      <c r="U41" s="93">
        <f>SUMPRODUCT(I8:I20,'Function Code Mapping'!$Q$26:$Q$38)</f>
        <v>0</v>
      </c>
      <c r="V41" s="93">
        <f>SUMPRODUCT(J8:J20,'Function Code Mapping'!$Q$26:$Q$38)</f>
        <v>0</v>
      </c>
      <c r="W41" s="93">
        <f>SUMPRODUCT(K8:K20,'Function Code Mapping'!$Q$26:$Q$38)</f>
        <v>0</v>
      </c>
      <c r="X41" s="93">
        <f>SUMPRODUCT(L8:L20,'Function Code Mapping'!$Q$26:$Q$38)</f>
        <v>0</v>
      </c>
      <c r="Y41" s="93">
        <f>SUMPRODUCT(M8:M20,'Function Code Mapping'!$Q$26:$Q$38)</f>
        <v>0</v>
      </c>
      <c r="Z41" s="143"/>
      <c r="AA41" s="4"/>
      <c r="AB41" s="4"/>
    </row>
    <row r="42" spans="1:29" s="162" customFormat="1" x14ac:dyDescent="0.2">
      <c r="A42" s="143"/>
      <c r="B42" s="299" t="s">
        <v>335</v>
      </c>
      <c r="C42" s="299"/>
      <c r="D42" s="305" t="s">
        <v>305</v>
      </c>
      <c r="E42" s="306"/>
      <c r="F42" s="306"/>
      <c r="G42" s="306"/>
      <c r="H42" s="306"/>
      <c r="I42" s="306"/>
      <c r="J42" s="306"/>
      <c r="K42" s="306"/>
      <c r="L42" s="306"/>
      <c r="M42" s="307"/>
      <c r="N42" s="36"/>
      <c r="O42" s="93">
        <f>'Historical Expenditure-Volumes'!D134</f>
        <v>273.45500000000004</v>
      </c>
      <c r="P42" s="93">
        <f>'Historical Expenditure-Volumes'!E134</f>
        <v>228.45500000000001</v>
      </c>
      <c r="Q42" s="93">
        <f>'Historical Expenditure-Volumes'!F134</f>
        <v>233</v>
      </c>
      <c r="R42" s="93">
        <f>'Historical Expenditure-Volumes'!G134</f>
        <v>263.67532996955208</v>
      </c>
      <c r="S42" s="93">
        <f t="shared" ref="S42:Y42" si="1">G19</f>
        <v>249.64633249238804</v>
      </c>
      <c r="T42" s="93">
        <f t="shared" si="1"/>
        <v>261.9603574426867</v>
      </c>
      <c r="U42" s="93">
        <f t="shared" si="1"/>
        <v>264.91572343075842</v>
      </c>
      <c r="V42" s="93">
        <f t="shared" si="1"/>
        <v>271.15482940557644</v>
      </c>
      <c r="W42" s="93">
        <f t="shared" si="1"/>
        <v>272.9608863982869</v>
      </c>
      <c r="X42" s="93">
        <f t="shared" si="1"/>
        <v>274.84903689066607</v>
      </c>
      <c r="Y42" s="93">
        <f t="shared" si="1"/>
        <v>275.66997188735263</v>
      </c>
      <c r="Z42" s="143"/>
      <c r="AA42" s="143"/>
      <c r="AB42" s="143"/>
    </row>
    <row r="43" spans="1:29" s="60" customForma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175" t="s">
        <v>36</v>
      </c>
      <c r="O43" s="90">
        <f t="shared" ref="O43:Y43" si="2">SUM(O28:O42)</f>
        <v>3048.9549999999999</v>
      </c>
      <c r="P43" s="90">
        <f t="shared" si="2"/>
        <v>921.45500000000004</v>
      </c>
      <c r="Q43" s="90">
        <f t="shared" si="2"/>
        <v>1158</v>
      </c>
      <c r="R43" s="90">
        <f t="shared" si="2"/>
        <v>1602.7260798645925</v>
      </c>
      <c r="S43" s="90">
        <f t="shared" si="2"/>
        <v>1193.2462618853883</v>
      </c>
      <c r="T43" s="90">
        <f t="shared" si="2"/>
        <v>1170.9146042318184</v>
      </c>
      <c r="U43" s="90">
        <f t="shared" si="2"/>
        <v>1177.4848611997536</v>
      </c>
      <c r="V43" s="90">
        <f t="shared" si="2"/>
        <v>1170.2968132871297</v>
      </c>
      <c r="W43" s="90">
        <f t="shared" si="2"/>
        <v>1190.4063811132376</v>
      </c>
      <c r="X43" s="90">
        <f t="shared" si="2"/>
        <v>1213.0904268503582</v>
      </c>
      <c r="Y43" s="90">
        <f t="shared" si="2"/>
        <v>1222.1297292153163</v>
      </c>
      <c r="Z43" s="143"/>
      <c r="AA43" s="4"/>
      <c r="AB43" s="4"/>
    </row>
    <row r="44" spans="1:29" s="60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 t="s">
        <v>231</v>
      </c>
      <c r="O44" s="198">
        <f>O43-C21</f>
        <v>0</v>
      </c>
      <c r="P44" s="198">
        <f t="shared" ref="P44:Y44" si="3">P43-D21</f>
        <v>0</v>
      </c>
      <c r="Q44" s="198">
        <f t="shared" si="3"/>
        <v>0</v>
      </c>
      <c r="R44" s="198">
        <f t="shared" si="3"/>
        <v>0</v>
      </c>
      <c r="S44" s="198">
        <f t="shared" si="3"/>
        <v>0</v>
      </c>
      <c r="T44" s="198">
        <f t="shared" si="3"/>
        <v>0</v>
      </c>
      <c r="U44" s="198">
        <f t="shared" si="3"/>
        <v>0</v>
      </c>
      <c r="V44" s="198">
        <f t="shared" si="3"/>
        <v>0</v>
      </c>
      <c r="W44" s="198">
        <f t="shared" si="3"/>
        <v>0</v>
      </c>
      <c r="X44" s="198">
        <f t="shared" si="3"/>
        <v>0</v>
      </c>
      <c r="Y44" s="198">
        <f t="shared" si="3"/>
        <v>0</v>
      </c>
      <c r="Z44" s="4"/>
      <c r="AA44" s="143"/>
      <c r="AB44" s="4"/>
      <c r="AC44" s="4"/>
    </row>
    <row r="45" spans="1:29" s="60" customForma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143"/>
      <c r="AB45" s="4"/>
      <c r="AC45" s="4"/>
    </row>
    <row r="46" spans="1:29" s="60" customFormat="1" x14ac:dyDescent="0.2">
      <c r="A46" s="4"/>
      <c r="B46" s="117" t="str">
        <f>"Forecast Expenditure by Function Code (High Volume)"</f>
        <v>Forecast Expenditure by Function Code (High Volume)</v>
      </c>
      <c r="C46" s="4"/>
      <c r="D46" s="4"/>
      <c r="E46" s="4"/>
      <c r="F46" s="4"/>
      <c r="G46" s="4"/>
      <c r="I46" s="143"/>
      <c r="J46" s="47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143"/>
      <c r="AB46" s="4"/>
      <c r="AC46" s="4"/>
    </row>
    <row r="47" spans="1:29" s="60" customFormat="1" x14ac:dyDescent="0.2">
      <c r="A47" s="4"/>
      <c r="B47" s="141" t="s">
        <v>323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143"/>
      <c r="AB47" s="4"/>
      <c r="AC47" s="4"/>
    </row>
    <row r="48" spans="1:29" s="60" customFormat="1" x14ac:dyDescent="0.2">
      <c r="A48" s="4"/>
      <c r="B48" s="4"/>
      <c r="C48" s="280" t="str">
        <f>"$ "&amp;Inflation!$D$4</f>
        <v>$ 2021</v>
      </c>
      <c r="D48" s="298"/>
      <c r="E48" s="298"/>
      <c r="F48" s="298"/>
      <c r="G48" s="298"/>
      <c r="H48" s="298"/>
      <c r="I48" s="298"/>
      <c r="J48" s="298"/>
      <c r="K48" s="298"/>
      <c r="L48" s="298"/>
      <c r="M48" s="282"/>
      <c r="N48" s="143"/>
      <c r="O48" s="143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143"/>
      <c r="AB48" s="4"/>
      <c r="AC48" s="4"/>
    </row>
    <row r="49" spans="1:30" s="60" customFormat="1" ht="25.5" x14ac:dyDescent="0.2">
      <c r="A49" s="4"/>
      <c r="B49" s="3" t="s">
        <v>35</v>
      </c>
      <c r="C49" s="3" t="s">
        <v>325</v>
      </c>
      <c r="D49" s="3" t="s">
        <v>326</v>
      </c>
      <c r="E49" s="3" t="s">
        <v>327</v>
      </c>
      <c r="F49" s="163" t="s">
        <v>328</v>
      </c>
      <c r="G49" s="163" t="s">
        <v>312</v>
      </c>
      <c r="H49" s="163" t="s">
        <v>313</v>
      </c>
      <c r="I49" s="163" t="s">
        <v>314</v>
      </c>
      <c r="J49" s="163" t="s">
        <v>315</v>
      </c>
      <c r="K49" s="163" t="s">
        <v>316</v>
      </c>
      <c r="L49" s="163" t="s">
        <v>317</v>
      </c>
      <c r="M49" s="163" t="s">
        <v>318</v>
      </c>
      <c r="N49" s="143"/>
      <c r="O49" s="143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143"/>
      <c r="AB49" s="4"/>
      <c r="AC49" s="4"/>
    </row>
    <row r="50" spans="1:30" s="60" customFormat="1" x14ac:dyDescent="0.2">
      <c r="A50" s="4"/>
      <c r="B50" s="68">
        <f t="shared" ref="B50:B62" si="4">B8</f>
        <v>102</v>
      </c>
      <c r="C50" s="97">
        <f>'Historical Expenditure-Volumes'!D29*'Historical Expenditure-Volumes'!$H29</f>
        <v>1237191.0284702622</v>
      </c>
      <c r="D50" s="97">
        <f>'Historical Expenditure-Volumes'!E29*'Historical Expenditure-Volumes'!$H29</f>
        <v>1778522.1292186046</v>
      </c>
      <c r="E50" s="97">
        <f>'Historical Expenditure-Volumes'!F29*'Historical Expenditure-Volumes'!$H29</f>
        <v>2787602.4552117866</v>
      </c>
      <c r="F50" s="97">
        <f>'Historical Expenditure-Volumes'!G29*'Historical Expenditure-Volumes'!$H29</f>
        <v>3623657.2103170725</v>
      </c>
      <c r="G50" s="190">
        <f>G8*'Unit Rates'!$C8*'Historical Expenditure-Volumes'!$H29</f>
        <v>2356743.2058044318</v>
      </c>
      <c r="H50" s="97">
        <f>H8*'Unit Rates'!$C8*'Historical Expenditure-Volumes'!$H29</f>
        <v>2269345.5659651007</v>
      </c>
      <c r="I50" s="97">
        <f>I8*'Unit Rates'!$C8*'Historical Expenditure-Volumes'!$H29*'Forecast Contributions'!$I$25</f>
        <v>1343741.2354710039</v>
      </c>
      <c r="J50" s="97">
        <f>J8*'Unit Rates'!$C8*'Historical Expenditure-Volumes'!$H29</f>
        <v>2384279.4484935366</v>
      </c>
      <c r="K50" s="97">
        <f>K8*'Unit Rates'!$C8*'Historical Expenditure-Volumes'!$H29</f>
        <v>2424386.5845841886</v>
      </c>
      <c r="L50" s="97">
        <f>L8*'Unit Rates'!$C8*'Historical Expenditure-Volumes'!$H29</f>
        <v>2437556.0919572385</v>
      </c>
      <c r="M50" s="97">
        <f>M8*'Unit Rates'!$C8*'Historical Expenditure-Volumes'!$H29</f>
        <v>2452222.1342590442</v>
      </c>
      <c r="N50" s="143"/>
      <c r="O50" s="143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143"/>
      <c r="AB50" s="4"/>
      <c r="AC50" s="4"/>
    </row>
    <row r="51" spans="1:30" s="60" customFormat="1" x14ac:dyDescent="0.2">
      <c r="A51" s="4"/>
      <c r="B51" s="68">
        <f t="shared" si="4"/>
        <v>104</v>
      </c>
      <c r="C51" s="97">
        <f>'Historical Expenditure-Volumes'!D30*'Historical Expenditure-Volumes'!$H30</f>
        <v>144.30086874409818</v>
      </c>
      <c r="D51" s="97">
        <f>'Historical Expenditure-Volumes'!E30*'Historical Expenditure-Volumes'!$H30</f>
        <v>74557.168195348844</v>
      </c>
      <c r="E51" s="97">
        <f>'Historical Expenditure-Volumes'!F30*'Historical Expenditure-Volumes'!$H30</f>
        <v>75835.880985263866</v>
      </c>
      <c r="F51" s="97">
        <f>'Historical Expenditure-Volumes'!G30*'Historical Expenditure-Volumes'!$H30</f>
        <v>6795.4746702800376</v>
      </c>
      <c r="G51" s="97">
        <f>G9*'Unit Rates'!$C9*'Historical Expenditure-Volumes'!$H30</f>
        <v>39333.206179909212</v>
      </c>
      <c r="H51" s="97">
        <f>H9*'Unit Rates'!$C9*'Historical Expenditure-Volumes'!$H30</f>
        <v>39333.206179909212</v>
      </c>
      <c r="I51" s="97">
        <f>I9*'Unit Rates'!$C9*'Historical Expenditure-Volumes'!$H30*'Forecast Contributions'!$I$25</f>
        <v>22788.32890633187</v>
      </c>
      <c r="J51" s="97">
        <f>J9*'Unit Rates'!$C9*'Historical Expenditure-Volumes'!$H30</f>
        <v>39333.206179909212</v>
      </c>
      <c r="K51" s="97">
        <f>K9*'Unit Rates'!$C9*'Historical Expenditure-Volumes'!$H30</f>
        <v>39333.206179909212</v>
      </c>
      <c r="L51" s="97">
        <f>L9*'Unit Rates'!$C9*'Historical Expenditure-Volumes'!$H30</f>
        <v>39333.206179909212</v>
      </c>
      <c r="M51" s="97">
        <f>M9*'Unit Rates'!$C9*'Historical Expenditure-Volumes'!$H30</f>
        <v>39333.206179909212</v>
      </c>
      <c r="N51" s="143"/>
      <c r="O51" s="143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143"/>
      <c r="AB51" s="4"/>
      <c r="AC51" s="4"/>
    </row>
    <row r="52" spans="1:30" s="60" customFormat="1" x14ac:dyDescent="0.2">
      <c r="A52" s="4"/>
      <c r="B52" s="68">
        <f t="shared" si="4"/>
        <v>105</v>
      </c>
      <c r="C52" s="97">
        <f>'Historical Expenditure-Volumes'!D31*'Historical Expenditure-Volumes'!$H31</f>
        <v>6608224.7573087811</v>
      </c>
      <c r="D52" s="97">
        <f>'Historical Expenditure-Volumes'!E31*'Historical Expenditure-Volumes'!$H31</f>
        <v>6825448.8140186043</v>
      </c>
      <c r="E52" s="97">
        <f>'Historical Expenditure-Volumes'!F31*'Historical Expenditure-Volumes'!$H31</f>
        <v>7188391.566832413</v>
      </c>
      <c r="F52" s="97">
        <f>'Historical Expenditure-Volumes'!G31*'Historical Expenditure-Volumes'!$H31</f>
        <v>8227740.4618016072</v>
      </c>
      <c r="G52" s="97">
        <f>G10*'Unit Rates'!$C10*'Historical Expenditure-Volumes'!$H31</f>
        <v>7212451.3999903509</v>
      </c>
      <c r="H52" s="97">
        <f>H10*'Unit Rates'!$C10*'Historical Expenditure-Volumes'!$H31</f>
        <v>7022364.2019484369</v>
      </c>
      <c r="I52" s="232">
        <f>I10*'Unit Rates'!$C10*'Historical Expenditure-Volumes'!$H31</f>
        <v>6710078.0908795772</v>
      </c>
      <c r="J52" s="97">
        <f>J10*'Unit Rates'!$C10*'Historical Expenditure-Volumes'!$H31</f>
        <v>5336019.202176597</v>
      </c>
      <c r="K52" s="97">
        <f>K10*'Unit Rates'!$C10*'Historical Expenditure-Volumes'!$H31</f>
        <v>5365890.0475831833</v>
      </c>
      <c r="L52" s="97">
        <f>L10*'Unit Rates'!$C10*'Historical Expenditure-Volumes'!$H31</f>
        <v>5963306.9557149159</v>
      </c>
      <c r="M52" s="97">
        <f>M10*'Unit Rates'!$C10*'Historical Expenditure-Volumes'!$H31</f>
        <v>6090936.9315430578</v>
      </c>
      <c r="N52" s="143"/>
      <c r="O52" s="143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143"/>
      <c r="AB52" s="4"/>
      <c r="AC52" s="4"/>
    </row>
    <row r="53" spans="1:30" s="60" customFormat="1" x14ac:dyDescent="0.2">
      <c r="A53" s="4"/>
      <c r="B53" s="68">
        <f t="shared" si="4"/>
        <v>106</v>
      </c>
      <c r="C53" s="97">
        <f>'Historical Expenditure-Volumes'!D32*'Historical Expenditure-Volumes'!$H32</f>
        <v>10273555.789376771</v>
      </c>
      <c r="D53" s="97">
        <f>'Historical Expenditure-Volumes'!E32*'Historical Expenditure-Volumes'!$H32</f>
        <v>8699363.528083723</v>
      </c>
      <c r="E53" s="97">
        <f>'Historical Expenditure-Volumes'!F32*'Historical Expenditure-Volumes'!$H32</f>
        <v>9378640.182771638</v>
      </c>
      <c r="F53" s="97">
        <f>'Historical Expenditure-Volumes'!G32*'Historical Expenditure-Volumes'!$H32</f>
        <v>9803380.9449099898</v>
      </c>
      <c r="G53" s="97">
        <f>G11*'Unit Rates'!$C11*'Historical Expenditure-Volumes'!$H32</f>
        <v>9538735.11128553</v>
      </c>
      <c r="H53" s="97">
        <f>H11*'Unit Rates'!$C11*'Historical Expenditure-Volumes'!$H32</f>
        <v>9668208.2471450828</v>
      </c>
      <c r="I53" s="232">
        <f>I11*'Unit Rates'!$C11*'Historical Expenditure-Volumes'!$H32</f>
        <v>9822783.3175080214</v>
      </c>
      <c r="J53" s="97">
        <f>J11*'Unit Rates'!$C11*'Historical Expenditure-Volumes'!$H32</f>
        <v>9236190.7427973859</v>
      </c>
      <c r="K53" s="97">
        <f>K11*'Unit Rates'!$C11*'Historical Expenditure-Volumes'!$H32</f>
        <v>9059156.0468261596</v>
      </c>
      <c r="L53" s="97">
        <f>L11*'Unit Rates'!$C11*'Historical Expenditure-Volumes'!$H32</f>
        <v>9359058.1064192094</v>
      </c>
      <c r="M53" s="97">
        <f>M11*'Unit Rates'!$C11*'Historical Expenditure-Volumes'!$H32</f>
        <v>9513633.1767821461</v>
      </c>
      <c r="N53" s="143"/>
      <c r="O53" s="143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143"/>
      <c r="AB53" s="4"/>
      <c r="AC53" s="4"/>
    </row>
    <row r="54" spans="1:30" s="60" customFormat="1" x14ac:dyDescent="0.2">
      <c r="A54" s="4"/>
      <c r="B54" s="68">
        <f t="shared" si="4"/>
        <v>107</v>
      </c>
      <c r="C54" s="97">
        <f>'Historical Expenditure-Volumes'!D33*'Historical Expenditure-Volumes'!$H33</f>
        <v>0</v>
      </c>
      <c r="D54" s="97">
        <f>'Historical Expenditure-Volumes'!E33*'Historical Expenditure-Volumes'!$H33</f>
        <v>0</v>
      </c>
      <c r="E54" s="97">
        <f>'Historical Expenditure-Volumes'!F33*'Historical Expenditure-Volumes'!$H33</f>
        <v>0</v>
      </c>
      <c r="F54" s="97">
        <f>'Historical Expenditure-Volumes'!G33*'Historical Expenditure-Volumes'!$H33</f>
        <v>0</v>
      </c>
      <c r="G54" s="97">
        <f>G12*'Unit Rates'!$C12*'Historical Expenditure-Volumes'!$H33</f>
        <v>0</v>
      </c>
      <c r="H54" s="97">
        <f>H12*'Unit Rates'!$C12*'Historical Expenditure-Volumes'!$H33</f>
        <v>0</v>
      </c>
      <c r="I54" s="97">
        <f>I12*'Unit Rates'!$C12*'Historical Expenditure-Volumes'!$H33</f>
        <v>0</v>
      </c>
      <c r="J54" s="97">
        <f>J12*'Unit Rates'!$C12*'Historical Expenditure-Volumes'!$H33</f>
        <v>0</v>
      </c>
      <c r="K54" s="97">
        <f>K12*'Unit Rates'!$C12*'Historical Expenditure-Volumes'!$H33</f>
        <v>0</v>
      </c>
      <c r="L54" s="97">
        <f>L12*'Unit Rates'!$C12*'Historical Expenditure-Volumes'!$H33</f>
        <v>0</v>
      </c>
      <c r="M54" s="97">
        <f>M12*'Unit Rates'!$C12*'Historical Expenditure-Volumes'!$H33</f>
        <v>0</v>
      </c>
      <c r="N54" s="143"/>
      <c r="O54" s="143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143"/>
      <c r="AB54" s="4"/>
      <c r="AC54" s="4"/>
    </row>
    <row r="55" spans="1:30" s="60" customFormat="1" x14ac:dyDescent="0.2">
      <c r="A55" s="4"/>
      <c r="B55" s="68">
        <f t="shared" si="4"/>
        <v>108</v>
      </c>
      <c r="C55" s="97">
        <f>'Historical Expenditure-Volumes'!D34*'Historical Expenditure-Volumes'!$H34</f>
        <v>0</v>
      </c>
      <c r="D55" s="97">
        <f>'Historical Expenditure-Volumes'!E34*'Historical Expenditure-Volumes'!$H34</f>
        <v>0</v>
      </c>
      <c r="E55" s="97">
        <f>'Historical Expenditure-Volumes'!F34*'Historical Expenditure-Volumes'!$H34</f>
        <v>0</v>
      </c>
      <c r="F55" s="97">
        <f>'Historical Expenditure-Volumes'!G34*'Historical Expenditure-Volumes'!$H34</f>
        <v>0</v>
      </c>
      <c r="G55" s="97">
        <f>G13*'Unit Rates'!$C13*'Historical Expenditure-Volumes'!$H34</f>
        <v>0</v>
      </c>
      <c r="H55" s="97">
        <f>H13*'Unit Rates'!$C13*'Historical Expenditure-Volumes'!$H34</f>
        <v>0</v>
      </c>
      <c r="I55" s="97">
        <f>I13*'Unit Rates'!$C13*'Historical Expenditure-Volumes'!$H34*'Forecast Contributions'!$I$25</f>
        <v>0</v>
      </c>
      <c r="J55" s="97">
        <f>J13*'Unit Rates'!$C13*'Historical Expenditure-Volumes'!$H34</f>
        <v>0</v>
      </c>
      <c r="K55" s="97">
        <f>K13*'Unit Rates'!$C13*'Historical Expenditure-Volumes'!$H34</f>
        <v>0</v>
      </c>
      <c r="L55" s="97">
        <f>L13*'Unit Rates'!$C13*'Historical Expenditure-Volumes'!$H34</f>
        <v>0</v>
      </c>
      <c r="M55" s="97">
        <f>M13*'Unit Rates'!$C13*'Historical Expenditure-Volumes'!$H34</f>
        <v>0</v>
      </c>
      <c r="N55" s="143"/>
      <c r="O55" s="143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143"/>
      <c r="AB55" s="4"/>
      <c r="AC55" s="4"/>
    </row>
    <row r="56" spans="1:30" s="60" customFormat="1" x14ac:dyDescent="0.2">
      <c r="A56" s="4"/>
      <c r="B56" s="68">
        <f t="shared" si="4"/>
        <v>109</v>
      </c>
      <c r="C56" s="97">
        <f>'Historical Expenditure-Volumes'!D35*'Historical Expenditure-Volumes'!$H35</f>
        <v>2283921.7476770538</v>
      </c>
      <c r="D56" s="97">
        <f>'Historical Expenditure-Volumes'!E35*'Historical Expenditure-Volumes'!$H35</f>
        <v>5108223.6116279075</v>
      </c>
      <c r="E56" s="97">
        <f>'Historical Expenditure-Volumes'!F35*'Historical Expenditure-Volumes'!$H35</f>
        <v>5856700.6890515657</v>
      </c>
      <c r="F56" s="97">
        <f>'Historical Expenditure-Volumes'!G35*'Historical Expenditure-Volumes'!$H35</f>
        <v>7038306.3808360854</v>
      </c>
      <c r="G56" s="97">
        <f>G14*'Unit Rates'!$C14*'Historical Expenditure-Volumes'!$H35</f>
        <v>6001076.8938385202</v>
      </c>
      <c r="H56" s="97">
        <f>H14*'Unit Rates'!$C14*'Historical Expenditure-Volumes'!$H35</f>
        <v>5778532.5132186515</v>
      </c>
      <c r="I56" s="97">
        <f>I14*'Unit Rates'!$C14*'Historical Expenditure-Volumes'!$H35*'Forecast Contributions'!$I$25</f>
        <v>3421626.2763047204</v>
      </c>
      <c r="J56" s="97">
        <f>J14*'Unit Rates'!$C14*'Historical Expenditure-Volumes'!$H35</f>
        <v>6071193.6164995749</v>
      </c>
      <c r="K56" s="97">
        <f>K14*'Unit Rates'!$C14*'Historical Expenditure-Volumes'!$H35</f>
        <v>6173320.1473319801</v>
      </c>
      <c r="L56" s="97">
        <f>L14*'Unit Rates'!$C14*'Historical Expenditure-Volumes'!$H35</f>
        <v>6206854.2320829201</v>
      </c>
      <c r="M56" s="97">
        <f>M14*'Unit Rates'!$C14*'Historical Expenditure-Volumes'!$H35</f>
        <v>6244199.0082828291</v>
      </c>
      <c r="N56" s="143"/>
      <c r="O56" s="143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143"/>
      <c r="AB56" s="4"/>
      <c r="AC56" s="4"/>
    </row>
    <row r="57" spans="1:30" s="60" customFormat="1" x14ac:dyDescent="0.2">
      <c r="A57" s="4"/>
      <c r="B57" s="68">
        <f t="shared" si="4"/>
        <v>110</v>
      </c>
      <c r="C57" s="97">
        <f>'Historical Expenditure-Volumes'!D36*'Historical Expenditure-Volumes'!$H36</f>
        <v>0</v>
      </c>
      <c r="D57" s="97">
        <f>'Historical Expenditure-Volumes'!E36*'Historical Expenditure-Volumes'!$H36</f>
        <v>0</v>
      </c>
      <c r="E57" s="97">
        <f>'Historical Expenditure-Volumes'!F36*'Historical Expenditure-Volumes'!$H36</f>
        <v>0</v>
      </c>
      <c r="F57" s="97">
        <f>'Historical Expenditure-Volumes'!G36*'Historical Expenditure-Volumes'!$H36</f>
        <v>0</v>
      </c>
      <c r="G57" s="97">
        <f>G15*'Unit Rates'!$C15*'Historical Expenditure-Volumes'!$H36</f>
        <v>0</v>
      </c>
      <c r="H57" s="97">
        <f>H15*'Unit Rates'!$C15*'Historical Expenditure-Volumes'!$H36</f>
        <v>0</v>
      </c>
      <c r="I57" s="97">
        <f>I15*'Unit Rates'!$C15*'Historical Expenditure-Volumes'!$H36*'Forecast Contributions'!$I$25</f>
        <v>0</v>
      </c>
      <c r="J57" s="97">
        <f>J15*'Unit Rates'!$C15*'Historical Expenditure-Volumes'!$H36</f>
        <v>0</v>
      </c>
      <c r="K57" s="97">
        <f>K15*'Unit Rates'!$C15*'Historical Expenditure-Volumes'!$H36</f>
        <v>0</v>
      </c>
      <c r="L57" s="97">
        <f>L15*'Unit Rates'!$C15*'Historical Expenditure-Volumes'!$H36</f>
        <v>0</v>
      </c>
      <c r="M57" s="97">
        <f>M15*'Unit Rates'!$C15*'Historical Expenditure-Volumes'!$H36</f>
        <v>0</v>
      </c>
      <c r="N57" s="143"/>
      <c r="O57" s="143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143"/>
      <c r="AB57" s="4"/>
      <c r="AC57" s="4"/>
    </row>
    <row r="58" spans="1:30" s="60" customFormat="1" x14ac:dyDescent="0.2">
      <c r="A58" s="4"/>
      <c r="B58" s="68">
        <f t="shared" si="4"/>
        <v>111</v>
      </c>
      <c r="C58" s="97">
        <f>'Historical Expenditure-Volumes'!D37*'Historical Expenditure-Volumes'!$H37</f>
        <v>23419589.788290836</v>
      </c>
      <c r="D58" s="97">
        <f>'Historical Expenditure-Volumes'!E37*'Historical Expenditure-Volumes'!$H37</f>
        <v>19816587.671023257</v>
      </c>
      <c r="E58" s="97">
        <f>'Historical Expenditure-Volumes'!F37*'Historical Expenditure-Volumes'!$H37</f>
        <v>23103041.918581955</v>
      </c>
      <c r="F58" s="97">
        <f>'Historical Expenditure-Volumes'!G37*'Historical Expenditure-Volumes'!$H37</f>
        <v>27836716.111980598</v>
      </c>
      <c r="G58" s="97">
        <f>G16*'Unit Rates'!$C16*'Historical Expenditure-Volumes'!$H37</f>
        <v>23543983.872469161</v>
      </c>
      <c r="H58" s="97">
        <f>H16*'Unit Rates'!$C16*'Historical Expenditure-Volumes'!$H37</f>
        <v>21717393.883979555</v>
      </c>
      <c r="I58" s="232">
        <f>I16*'Unit Rates'!$C16*'Historical Expenditure-Volumes'!$H37</f>
        <v>20490153.735463101</v>
      </c>
      <c r="J58" s="97">
        <f>J16*'Unit Rates'!$C16*'Historical Expenditure-Volumes'!$H37</f>
        <v>19736685.36521114</v>
      </c>
      <c r="K58" s="97">
        <f>K16*'Unit Rates'!$C16*'Historical Expenditure-Volumes'!$H37</f>
        <v>21483362.041704327</v>
      </c>
      <c r="L58" s="97">
        <f>L16*'Unit Rates'!$C16*'Historical Expenditure-Volumes'!$H37</f>
        <v>22543164.774609238</v>
      </c>
      <c r="M58" s="97">
        <f>M16*'Unit Rates'!$C16*'Historical Expenditure-Volumes'!$H37</f>
        <v>22756266.939933021</v>
      </c>
      <c r="N58" s="143"/>
      <c r="O58" s="143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143"/>
      <c r="AB58" s="4"/>
      <c r="AC58" s="4"/>
    </row>
    <row r="59" spans="1:30" s="60" customFormat="1" x14ac:dyDescent="0.2">
      <c r="A59" s="4"/>
      <c r="B59" s="68">
        <f t="shared" si="4"/>
        <v>114</v>
      </c>
      <c r="C59" s="97">
        <f>'Historical Expenditure-Volumes'!D38*'Historical Expenditure-Volumes'!$H38</f>
        <v>0</v>
      </c>
      <c r="D59" s="97">
        <f>'Historical Expenditure-Volumes'!E38*'Historical Expenditure-Volumes'!$H38</f>
        <v>0</v>
      </c>
      <c r="E59" s="97">
        <f>'Historical Expenditure-Volumes'!F38*'Historical Expenditure-Volumes'!$H38</f>
        <v>0</v>
      </c>
      <c r="F59" s="97">
        <f>'Historical Expenditure-Volumes'!G38*'Historical Expenditure-Volumes'!$H38</f>
        <v>0</v>
      </c>
      <c r="G59" s="97">
        <f>G17*'Unit Rates'!$C17*'Historical Expenditure-Volumes'!$H38</f>
        <v>0</v>
      </c>
      <c r="H59" s="97">
        <f>H17*'Unit Rates'!$C17*'Historical Expenditure-Volumes'!$H38</f>
        <v>0</v>
      </c>
      <c r="I59" s="97">
        <f>I17*'Unit Rates'!$C17*'Historical Expenditure-Volumes'!$H38*'Forecast Contributions'!$I$25</f>
        <v>0</v>
      </c>
      <c r="J59" s="97">
        <f>J17*'Unit Rates'!$C17*'Historical Expenditure-Volumes'!$H38</f>
        <v>0</v>
      </c>
      <c r="K59" s="97">
        <f>K17*'Unit Rates'!$C17*'Historical Expenditure-Volumes'!$H38</f>
        <v>0</v>
      </c>
      <c r="L59" s="97">
        <f>L17*'Unit Rates'!$C17*'Historical Expenditure-Volumes'!$H38</f>
        <v>0</v>
      </c>
      <c r="M59" s="97">
        <f>M17*'Unit Rates'!$C17*'Historical Expenditure-Volumes'!$H38</f>
        <v>0</v>
      </c>
      <c r="N59" s="143"/>
      <c r="O59" s="14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143"/>
      <c r="AB59" s="4"/>
      <c r="AC59" s="4"/>
    </row>
    <row r="60" spans="1:30" s="60" customFormat="1" x14ac:dyDescent="0.2">
      <c r="A60" s="4"/>
      <c r="B60" s="68">
        <f t="shared" si="4"/>
        <v>115</v>
      </c>
      <c r="C60" s="97">
        <f>'Historical Expenditure-Volumes'!D39*'Historical Expenditure-Volumes'!$H39</f>
        <v>0</v>
      </c>
      <c r="D60" s="97">
        <f>'Historical Expenditure-Volumes'!E39*'Historical Expenditure-Volumes'!$H39</f>
        <v>0</v>
      </c>
      <c r="E60" s="97">
        <f>'Historical Expenditure-Volumes'!F39*'Historical Expenditure-Volumes'!$H39</f>
        <v>0</v>
      </c>
      <c r="F60" s="97">
        <f>'Historical Expenditure-Volumes'!G39*'Historical Expenditure-Volumes'!$H39</f>
        <v>0</v>
      </c>
      <c r="G60" s="97">
        <f>G18*'Unit Rates'!$C18*'Historical Expenditure-Volumes'!$H39</f>
        <v>0</v>
      </c>
      <c r="H60" s="97">
        <f>H18*'Unit Rates'!$C18*'Historical Expenditure-Volumes'!$H39</f>
        <v>0</v>
      </c>
      <c r="I60" s="97">
        <f>I18*'Unit Rates'!$C18*'Historical Expenditure-Volumes'!$H39*'Forecast Contributions'!$I$25</f>
        <v>0</v>
      </c>
      <c r="J60" s="97">
        <f>J18*'Unit Rates'!$C18*'Historical Expenditure-Volumes'!$H39</f>
        <v>0</v>
      </c>
      <c r="K60" s="97">
        <f>K18*'Unit Rates'!$C18*'Historical Expenditure-Volumes'!$H39</f>
        <v>0</v>
      </c>
      <c r="L60" s="97">
        <f>L18*'Unit Rates'!$C18*'Historical Expenditure-Volumes'!$H39</f>
        <v>0</v>
      </c>
      <c r="M60" s="97">
        <f>M18*'Unit Rates'!$C18*'Historical Expenditure-Volumes'!$H39</f>
        <v>0</v>
      </c>
      <c r="N60" s="143"/>
      <c r="O60" s="143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143"/>
      <c r="AB60" s="4"/>
      <c r="AC60" s="4"/>
    </row>
    <row r="61" spans="1:30" s="60" customFormat="1" x14ac:dyDescent="0.2">
      <c r="A61" s="4"/>
      <c r="B61" s="68">
        <f t="shared" si="4"/>
        <v>116</v>
      </c>
      <c r="C61" s="97">
        <f>'Historical Expenditure-Volumes'!D40*'Historical Expenditure-Volumes'!$H40</f>
        <v>17486026.921775255</v>
      </c>
      <c r="D61" s="97">
        <f>'Historical Expenditure-Volumes'!E40*'Historical Expenditure-Volumes'!$H40</f>
        <v>23497723.990251161</v>
      </c>
      <c r="E61" s="97">
        <f>'Historical Expenditure-Volumes'!F40*'Historical Expenditure-Volumes'!$H40</f>
        <v>26158466.429769799</v>
      </c>
      <c r="F61" s="97">
        <f>'Historical Expenditure-Volumes'!G40*'Historical Expenditure-Volumes'!$H40</f>
        <v>25822969.680028953</v>
      </c>
      <c r="G61" s="97">
        <f>G19*'Unit Rates'!$C19*'Historical Expenditure-Volumes'!$H40</f>
        <v>23241296.755456291</v>
      </c>
      <c r="H61" s="97">
        <f>H19*'Unit Rates'!$C19*'Historical Expenditure-Volumes'!$H40</f>
        <v>24387694.162006259</v>
      </c>
      <c r="I61" s="232">
        <f>I19*'Unit Rates'!$C19*'Historical Expenditure-Volumes'!$H40</f>
        <v>24662829.539578252</v>
      </c>
      <c r="J61" s="97">
        <f>J19*'Unit Rates'!$C19*'Historical Expenditure-Volumes'!$H40</f>
        <v>25243670.892230239</v>
      </c>
      <c r="K61" s="97">
        <f>K19*'Unit Rates'!$C19*'Historical Expenditure-Volumes'!$H40</f>
        <v>25411809.178524233</v>
      </c>
      <c r="L61" s="97">
        <f>L19*'Unit Rates'!$C19*'Historical Expenditure-Volumes'!$H40</f>
        <v>25587590.114195231</v>
      </c>
      <c r="M61" s="97">
        <f>M19*'Unit Rates'!$C19*'Historical Expenditure-Volumes'!$H40</f>
        <v>25664016.607965227</v>
      </c>
      <c r="N61" s="143"/>
      <c r="O61" s="143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143"/>
      <c r="AB61" s="4"/>
      <c r="AC61" s="4"/>
    </row>
    <row r="62" spans="1:30" s="60" customFormat="1" x14ac:dyDescent="0.2">
      <c r="A62" s="4"/>
      <c r="B62" s="68">
        <f t="shared" si="4"/>
        <v>118</v>
      </c>
      <c r="C62" s="97">
        <f>'Historical Expenditure-Volumes'!D41*'Historical Expenditure-Volumes'!$H41</f>
        <v>0</v>
      </c>
      <c r="D62" s="97">
        <f>'Historical Expenditure-Volumes'!E41*'Historical Expenditure-Volumes'!$H41</f>
        <v>0</v>
      </c>
      <c r="E62" s="97">
        <f>'Historical Expenditure-Volumes'!F41*'Historical Expenditure-Volumes'!$H41</f>
        <v>0</v>
      </c>
      <c r="F62" s="97">
        <f>'Historical Expenditure-Volumes'!G41*'Historical Expenditure-Volumes'!$H41</f>
        <v>0</v>
      </c>
      <c r="G62" s="97">
        <f>G20*'Unit Rates'!$C20*'Historical Expenditure-Volumes'!$H41</f>
        <v>0</v>
      </c>
      <c r="H62" s="97">
        <f>H20*'Unit Rates'!$C20*'Historical Expenditure-Volumes'!$H41</f>
        <v>0</v>
      </c>
      <c r="I62" s="97">
        <f>I20*'Unit Rates'!$C20*'Historical Expenditure-Volumes'!$H41*'Forecast Contributions'!$I$25</f>
        <v>0</v>
      </c>
      <c r="J62" s="97">
        <f>J20*'Unit Rates'!$C20*'Historical Expenditure-Volumes'!$H41</f>
        <v>0</v>
      </c>
      <c r="K62" s="97">
        <f>K20*'Unit Rates'!$C20*'Historical Expenditure-Volumes'!$H41</f>
        <v>0</v>
      </c>
      <c r="L62" s="97">
        <f>L20*'Unit Rates'!$C20*'Historical Expenditure-Volumes'!$H41</f>
        <v>0</v>
      </c>
      <c r="M62" s="97">
        <f>M20*'Unit Rates'!$C20*'Historical Expenditure-Volumes'!$H41</f>
        <v>0</v>
      </c>
      <c r="N62" s="143"/>
      <c r="O62" s="143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143"/>
      <c r="AB62" s="4"/>
      <c r="AC62" s="4"/>
    </row>
    <row r="63" spans="1:30" s="60" customFormat="1" x14ac:dyDescent="0.2">
      <c r="A63" s="4"/>
      <c r="B63" s="74" t="s">
        <v>36</v>
      </c>
      <c r="C63" s="58">
        <f t="shared" ref="C63:M63" si="5">SUM(C50:C62)</f>
        <v>61308654.333767697</v>
      </c>
      <c r="D63" s="58">
        <f t="shared" si="5"/>
        <v>65800426.912418604</v>
      </c>
      <c r="E63" s="58">
        <f t="shared" si="5"/>
        <v>74548679.123204425</v>
      </c>
      <c r="F63" s="58">
        <f t="shared" si="5"/>
        <v>82359566.264544576</v>
      </c>
      <c r="G63" s="58">
        <f t="shared" si="5"/>
        <v>71933620.445024192</v>
      </c>
      <c r="H63" s="58">
        <f t="shared" si="5"/>
        <v>70882871.780442998</v>
      </c>
      <c r="I63" s="58">
        <f t="shared" si="5"/>
        <v>66474000.52411101</v>
      </c>
      <c r="J63" s="58">
        <f t="shared" si="5"/>
        <v>68047372.473588392</v>
      </c>
      <c r="K63" s="58">
        <f t="shared" si="5"/>
        <v>69957257.252733976</v>
      </c>
      <c r="L63" s="58">
        <f t="shared" si="5"/>
        <v>72136863.481158659</v>
      </c>
      <c r="M63" s="58">
        <f t="shared" si="5"/>
        <v>72760608.004945233</v>
      </c>
      <c r="N63" s="143"/>
      <c r="O63" s="143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143"/>
      <c r="AB63" s="4"/>
      <c r="AC63" s="4"/>
    </row>
    <row r="64" spans="1:30" s="60" customFormat="1" x14ac:dyDescent="0.2">
      <c r="A64" s="4"/>
      <c r="B64" s="4" t="s">
        <v>231</v>
      </c>
      <c r="C64" s="198">
        <f>C63-SUMPRODUCT('Historical Expenditure-Volumes'!D$29:D$42,'Historical Expenditure-Volumes'!$H$29:$H$42)</f>
        <v>0</v>
      </c>
      <c r="D64" s="198">
        <f>D63-SUMPRODUCT('Historical Expenditure-Volumes'!E$29:E$42,'Historical Expenditure-Volumes'!$H$29:$H$42)</f>
        <v>0</v>
      </c>
      <c r="E64" s="198">
        <f>E63-SUMPRODUCT('Historical Expenditure-Volumes'!F$29:F$42,'Historical Expenditure-Volumes'!$H$29:$H$42)</f>
        <v>0</v>
      </c>
      <c r="F64" s="198">
        <f>F63-SUMPRODUCT('Historical Expenditure-Volumes'!G$29:G$42,'Historical Expenditure-Volumes'!$H$29:$H$42)</f>
        <v>0</v>
      </c>
      <c r="G64" s="198">
        <f>SUMPRODUCT(G$8:G$20,'Unit Rates'!$C$8:$C$20,'Historical Expenditure-Volumes'!$H$29:$H$41)-G63</f>
        <v>0</v>
      </c>
      <c r="H64" s="198">
        <f>SUMPRODUCT(H$8:H$20,'Unit Rates'!$C$8:$C$20,'Historical Expenditure-Volumes'!$H$29:$H$41)-H63</f>
        <v>0</v>
      </c>
      <c r="I64" s="198"/>
      <c r="J64" s="198">
        <f>SUMPRODUCT(J$8:J$20,'Unit Rates'!$C$8:$C$20,'Historical Expenditure-Volumes'!$H$29:$H$41)-J63</f>
        <v>0</v>
      </c>
      <c r="K64" s="198">
        <f>SUMPRODUCT(K$8:K$20,'Unit Rates'!$C$8:$C$20,'Historical Expenditure-Volumes'!$H$29:$H$41)-K63</f>
        <v>0</v>
      </c>
      <c r="L64" s="198">
        <f>SUMPRODUCT(L$8:L$20,'Unit Rates'!$C$8:$C$20,'Historical Expenditure-Volumes'!$H$29:$H$41)-L63</f>
        <v>0</v>
      </c>
      <c r="M64" s="198">
        <f>SUMPRODUCT(M$8:M$20,'Unit Rates'!$C$8:$C$20,'Historical Expenditure-Volumes'!$H$29:$H$41)-M63</f>
        <v>0</v>
      </c>
      <c r="N64" s="4"/>
      <c r="O64" s="143"/>
      <c r="P64" s="143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143"/>
      <c r="AC64" s="4"/>
      <c r="AD64" s="4"/>
    </row>
    <row r="65" spans="1:30" s="127" customFormat="1" x14ac:dyDescent="0.2">
      <c r="A65" s="128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43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43"/>
      <c r="AC65" s="128"/>
      <c r="AD65" s="128"/>
    </row>
    <row r="66" spans="1:30" s="129" customFormat="1" x14ac:dyDescent="0.2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43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43"/>
      <c r="AC66" s="130"/>
      <c r="AD66" s="130"/>
    </row>
    <row r="67" spans="1:30" s="60" customFormat="1" x14ac:dyDescent="0.2">
      <c r="A67" s="4"/>
      <c r="B67" s="34" t="s">
        <v>276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143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143"/>
      <c r="AC67" s="4"/>
      <c r="AD67" s="4"/>
    </row>
    <row r="68" spans="1:30" s="60" customFormat="1" x14ac:dyDescent="0.2">
      <c r="A68" s="4"/>
      <c r="B68" s="131" t="s">
        <v>282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143"/>
      <c r="P68" s="143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143"/>
      <c r="AC68" s="4"/>
      <c r="AD68" s="4"/>
    </row>
    <row r="69" spans="1:30" s="60" customFormat="1" x14ac:dyDescent="0.2">
      <c r="A69" s="4"/>
      <c r="B69" s="4"/>
      <c r="C69" s="280" t="str">
        <f>"$ "&amp;Inflation!$D$4</f>
        <v>$ 2021</v>
      </c>
      <c r="D69" s="298"/>
      <c r="E69" s="298"/>
      <c r="F69" s="298"/>
      <c r="G69" s="298"/>
      <c r="H69" s="298"/>
      <c r="I69" s="298"/>
      <c r="J69" s="298"/>
      <c r="K69" s="298"/>
      <c r="L69" s="298"/>
      <c r="M69" s="282"/>
      <c r="N69" s="143"/>
      <c r="O69" s="143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143"/>
      <c r="AB69" s="4"/>
      <c r="AC69" s="4"/>
    </row>
    <row r="70" spans="1:30" s="60" customFormat="1" ht="25.5" x14ac:dyDescent="0.2">
      <c r="A70" s="4"/>
      <c r="B70" s="3" t="s">
        <v>35</v>
      </c>
      <c r="C70" s="3" t="s">
        <v>325</v>
      </c>
      <c r="D70" s="3" t="s">
        <v>326</v>
      </c>
      <c r="E70" s="3" t="s">
        <v>327</v>
      </c>
      <c r="F70" s="163" t="s">
        <v>328</v>
      </c>
      <c r="G70" s="163" t="s">
        <v>312</v>
      </c>
      <c r="H70" s="163" t="s">
        <v>313</v>
      </c>
      <c r="I70" s="163" t="s">
        <v>314</v>
      </c>
      <c r="J70" s="163" t="s">
        <v>315</v>
      </c>
      <c r="K70" s="163" t="s">
        <v>316</v>
      </c>
      <c r="L70" s="163" t="s">
        <v>317</v>
      </c>
      <c r="M70" s="163" t="s">
        <v>318</v>
      </c>
      <c r="N70" s="143"/>
      <c r="O70" s="143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143"/>
      <c r="AB70" s="4"/>
      <c r="AC70" s="4"/>
    </row>
    <row r="71" spans="1:30" s="60" customFormat="1" x14ac:dyDescent="0.2">
      <c r="A71" s="4"/>
      <c r="B71" s="68">
        <f t="shared" ref="B71:B83" si="6">B50</f>
        <v>102</v>
      </c>
      <c r="C71" s="200">
        <f>'Historical Expenditure-Volumes'!D29*'Historical Expenditure-Volumes'!$I29</f>
        <v>0</v>
      </c>
      <c r="D71" s="98">
        <f>'Historical Expenditure-Volumes'!E29*'Historical Expenditure-Volumes'!$I29</f>
        <v>0</v>
      </c>
      <c r="E71" s="98">
        <f>'Historical Expenditure-Volumes'!F29*'Historical Expenditure-Volumes'!$I29</f>
        <v>0</v>
      </c>
      <c r="F71" s="98">
        <f>'Historical Expenditure-Volumes'!G29*'Historical Expenditure-Volumes'!$I29</f>
        <v>0</v>
      </c>
      <c r="G71" s="97">
        <f ca="1">SUMIF('Major Projects'!$B$8:$I$10,$B71,'Major Projects'!C$8:C$10)*Inflation!$L$10</f>
        <v>0</v>
      </c>
      <c r="H71" s="97">
        <f ca="1">SUMIF('Major Projects'!$B$8:$I$10,$B71,'Major Projects'!D$8:D$10)*Inflation!$L$10</f>
        <v>0</v>
      </c>
      <c r="I71" s="97">
        <f ca="1">SUMIF('Major Projects'!$B$8:$I$10,$B71,'Major Projects'!E$8:E$10)*Inflation!$L$10</f>
        <v>0</v>
      </c>
      <c r="J71" s="97">
        <f ca="1">SUMIF('Major Projects'!$B$8:$I$10,$B71,'Major Projects'!F$8:F$10)*Inflation!$L$10</f>
        <v>0</v>
      </c>
      <c r="K71" s="97">
        <f ca="1">SUMIF('Major Projects'!$B$8:$I$10,$B71,'Major Projects'!G$8:G$10)*Inflation!$L$10</f>
        <v>0</v>
      </c>
      <c r="L71" s="97">
        <f ca="1">SUMIF('Major Projects'!$B$8:$I$10,$B71,'Major Projects'!H$8:H$10)*Inflation!$L$10</f>
        <v>0</v>
      </c>
      <c r="M71" s="97">
        <f ca="1">SUMIF('Major Projects'!$B$8:$I$10,$B71,'Major Projects'!I$8:I$10)*Inflation!$L$10</f>
        <v>0</v>
      </c>
      <c r="N71" s="143"/>
      <c r="O71" s="143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143"/>
      <c r="AB71" s="4"/>
      <c r="AC71" s="4"/>
    </row>
    <row r="72" spans="1:30" s="60" customFormat="1" x14ac:dyDescent="0.2">
      <c r="A72" s="4"/>
      <c r="B72" s="68">
        <f t="shared" si="6"/>
        <v>104</v>
      </c>
      <c r="C72" s="98">
        <f>'Historical Expenditure-Volumes'!D30*'Historical Expenditure-Volumes'!$I30</f>
        <v>0</v>
      </c>
      <c r="D72" s="98">
        <f>'Historical Expenditure-Volumes'!E30*'Historical Expenditure-Volumes'!$I30</f>
        <v>0</v>
      </c>
      <c r="E72" s="98">
        <f>'Historical Expenditure-Volumes'!F30*'Historical Expenditure-Volumes'!$I30</f>
        <v>0</v>
      </c>
      <c r="F72" s="98">
        <f>'Historical Expenditure-Volumes'!G30*'Historical Expenditure-Volumes'!$I30</f>
        <v>0</v>
      </c>
      <c r="G72" s="97">
        <f ca="1">SUMIF('Major Projects'!$B$8:$I$10,$B72,'Major Projects'!C$8:C$10)*Inflation!$L$10</f>
        <v>0</v>
      </c>
      <c r="H72" s="97">
        <f ca="1">SUMIF('Major Projects'!$B$8:$I$10,$B72,'Major Projects'!D$8:D$10)*Inflation!$L$10</f>
        <v>0</v>
      </c>
      <c r="I72" s="97">
        <f ca="1">SUMIF('Major Projects'!$B$8:$I$10,$B72,'Major Projects'!E$8:E$10)*Inflation!$L$10</f>
        <v>0</v>
      </c>
      <c r="J72" s="97">
        <f ca="1">SUMIF('Major Projects'!$B$8:$I$10,$B72,'Major Projects'!F$8:F$10)*Inflation!$L$10</f>
        <v>0</v>
      </c>
      <c r="K72" s="97">
        <f ca="1">SUMIF('Major Projects'!$B$8:$I$10,$B72,'Major Projects'!G$8:G$10)*Inflation!$L$10</f>
        <v>0</v>
      </c>
      <c r="L72" s="97">
        <f ca="1">SUMIF('Major Projects'!$B$8:$I$10,$B72,'Major Projects'!H$8:H$10)*Inflation!$L$10</f>
        <v>0</v>
      </c>
      <c r="M72" s="97">
        <f ca="1">SUMIF('Major Projects'!$B$8:$I$10,$B72,'Major Projects'!I$8:I$10)*Inflation!$L$10</f>
        <v>0</v>
      </c>
      <c r="N72" s="143"/>
      <c r="O72" s="143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143"/>
      <c r="AB72" s="4"/>
      <c r="AC72" s="4"/>
    </row>
    <row r="73" spans="1:30" s="60" customFormat="1" x14ac:dyDescent="0.2">
      <c r="A73" s="4"/>
      <c r="B73" s="68">
        <f t="shared" si="6"/>
        <v>105</v>
      </c>
      <c r="C73" s="98">
        <f>'Historical Expenditure-Volumes'!D31*'Historical Expenditure-Volumes'!$I31</f>
        <v>0</v>
      </c>
      <c r="D73" s="98">
        <f>'Historical Expenditure-Volumes'!E31*'Historical Expenditure-Volumes'!$I31</f>
        <v>0</v>
      </c>
      <c r="E73" s="98">
        <f>'Historical Expenditure-Volumes'!F31*'Historical Expenditure-Volumes'!$I31</f>
        <v>0</v>
      </c>
      <c r="F73" s="98">
        <f>'Historical Expenditure-Volumes'!G31*'Historical Expenditure-Volumes'!$I31</f>
        <v>0</v>
      </c>
      <c r="G73" s="97">
        <f ca="1">SUMIF('Major Projects'!$B$8:$I$10,$B73,'Major Projects'!C$8:C$10)*Inflation!$L$10</f>
        <v>0</v>
      </c>
      <c r="H73" s="97">
        <f ca="1">SUMIF('Major Projects'!$B$8:$I$10,$B73,'Major Projects'!D$8:D$10)*Inflation!$L$10</f>
        <v>0</v>
      </c>
      <c r="I73" s="97">
        <f ca="1">SUMIF('Major Projects'!$B$8:$I$10,$B73,'Major Projects'!E$8:E$10)*Inflation!$L$10</f>
        <v>0</v>
      </c>
      <c r="J73" s="97">
        <f ca="1">SUMIF('Major Projects'!$B$8:$I$10,$B73,'Major Projects'!F$8:F$10)*Inflation!$L$10</f>
        <v>0</v>
      </c>
      <c r="K73" s="97">
        <f ca="1">SUMIF('Major Projects'!$B$8:$I$10,$B73,'Major Projects'!G$8:G$10)*Inflation!$L$10</f>
        <v>0</v>
      </c>
      <c r="L73" s="97">
        <f ca="1">SUMIF('Major Projects'!$B$8:$I$10,$B73,'Major Projects'!H$8:H$10)*Inflation!$L$10</f>
        <v>0</v>
      </c>
      <c r="M73" s="97">
        <f ca="1">SUMIF('Major Projects'!$B$8:$I$10,$B73,'Major Projects'!I$8:I$10)*Inflation!$L$10</f>
        <v>0</v>
      </c>
      <c r="N73" s="143"/>
      <c r="O73" s="143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143"/>
      <c r="AB73" s="4"/>
      <c r="AC73" s="4"/>
    </row>
    <row r="74" spans="1:30" s="60" customFormat="1" x14ac:dyDescent="0.2">
      <c r="A74" s="4"/>
      <c r="B74" s="68">
        <f t="shared" si="6"/>
        <v>106</v>
      </c>
      <c r="C74" s="98">
        <f>'Historical Expenditure-Volumes'!D32*'Historical Expenditure-Volumes'!$I32</f>
        <v>0</v>
      </c>
      <c r="D74" s="98">
        <f>'Historical Expenditure-Volumes'!E32*'Historical Expenditure-Volumes'!$I32</f>
        <v>0</v>
      </c>
      <c r="E74" s="98">
        <f>'Historical Expenditure-Volumes'!F32*'Historical Expenditure-Volumes'!$I32</f>
        <v>0</v>
      </c>
      <c r="F74" s="98">
        <f>'Historical Expenditure-Volumes'!G32*'Historical Expenditure-Volumes'!$I32</f>
        <v>0</v>
      </c>
      <c r="G74" s="97">
        <f ca="1">SUMIF('Major Projects'!$B$8:$I$10,$B74,'Major Projects'!C$8:C$10)*Inflation!$L$10</f>
        <v>0</v>
      </c>
      <c r="H74" s="97">
        <f ca="1">SUMIF('Major Projects'!$B$8:$I$10,$B74,'Major Projects'!D$8:D$10)*Inflation!$L$10</f>
        <v>0</v>
      </c>
      <c r="I74" s="97">
        <f ca="1">SUMIF('Major Projects'!$B$8:$I$10,$B74,'Major Projects'!E$8:E$10)*Inflation!$L$10</f>
        <v>0</v>
      </c>
      <c r="J74" s="97">
        <f ca="1">SUMIF('Major Projects'!$B$8:$I$10,$B74,'Major Projects'!F$8:F$10)*Inflation!$L$10</f>
        <v>0</v>
      </c>
      <c r="K74" s="97">
        <f ca="1">SUMIF('Major Projects'!$B$8:$I$10,$B74,'Major Projects'!G$8:G$10)*Inflation!$L$10</f>
        <v>0</v>
      </c>
      <c r="L74" s="97">
        <f ca="1">SUMIF('Major Projects'!$B$8:$I$10,$B74,'Major Projects'!H$8:H$10)*Inflation!$L$10</f>
        <v>0</v>
      </c>
      <c r="M74" s="97">
        <f ca="1">SUMIF('Major Projects'!$B$8:$I$10,$B74,'Major Projects'!I$8:I$10)*Inflation!$L$10</f>
        <v>0</v>
      </c>
      <c r="N74" s="143"/>
      <c r="O74" s="143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143"/>
      <c r="AB74" s="4"/>
      <c r="AC74" s="4"/>
    </row>
    <row r="75" spans="1:30" s="60" customFormat="1" x14ac:dyDescent="0.2">
      <c r="A75" s="4"/>
      <c r="B75" s="68">
        <f t="shared" si="6"/>
        <v>107</v>
      </c>
      <c r="C75" s="200">
        <f>'Historical Expenditure-Volumes'!D33*'Historical Expenditure-Volumes'!$I33</f>
        <v>3130443.0489423983</v>
      </c>
      <c r="D75" s="98">
        <f>'Historical Expenditure-Volumes'!E33*'Historical Expenditure-Volumes'!$I33</f>
        <v>3500728.9769395352</v>
      </c>
      <c r="E75" s="98">
        <f>'Historical Expenditure-Volumes'!F33*'Historical Expenditure-Volumes'!$I33</f>
        <v>2031751.7517403318</v>
      </c>
      <c r="F75" s="98">
        <f>'Historical Expenditure-Volumes'!G33*'Historical Expenditure-Volumes'!$I33</f>
        <v>2922475.2002105257</v>
      </c>
      <c r="G75" s="190">
        <f ca="1">SUMIF('Major Projects'!$B$8:$I$10,$B75,'Major Projects'!C$8:C$10)*Inflation!$L$10</f>
        <v>3632899.0485023484</v>
      </c>
      <c r="H75" s="97">
        <f ca="1">SUMIF('Major Projects'!$B$8:$I$10,$B75,'Major Projects'!D$8:D$10)*Inflation!$L$10</f>
        <v>6596179.9568935139</v>
      </c>
      <c r="I75" s="97">
        <f ca="1">SUMIF('Major Projects'!$B$8:$I$10,$B75,'Major Projects'!E$8:E$10)*Inflation!$L$10*'Forecast Contributions'!$I$25</f>
        <v>3972822.604426322</v>
      </c>
      <c r="J75" s="97">
        <f ca="1">SUMIF('Major Projects'!$B$8:$I$10,$B75,'Major Projects'!F$8:F$10)*Inflation!$L$10</f>
        <v>5115822.811132703</v>
      </c>
      <c r="K75" s="97">
        <f ca="1">SUMIF('Major Projects'!$B$8:$I$10,$B75,'Major Projects'!G$8:G$10)*Inflation!$L$10</f>
        <v>7337417.6792857982</v>
      </c>
      <c r="L75" s="97">
        <f ca="1">SUMIF('Major Projects'!$B$8:$I$10,$B75,'Major Projects'!H$8:H$10)*Inflation!$L$10</f>
        <v>2894227.9429796073</v>
      </c>
      <c r="M75" s="97">
        <f ca="1">SUMIF('Major Projects'!$B$8:$I$10,$B75,'Major Projects'!I$8:I$10)*Inflation!$L$10</f>
        <v>2894227.9429796073</v>
      </c>
      <c r="N75" s="143"/>
      <c r="O75" s="143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143"/>
      <c r="AB75" s="4"/>
      <c r="AC75" s="4"/>
    </row>
    <row r="76" spans="1:30" s="60" customFormat="1" x14ac:dyDescent="0.2">
      <c r="A76" s="4"/>
      <c r="B76" s="68">
        <f t="shared" si="6"/>
        <v>108</v>
      </c>
      <c r="C76" s="98">
        <f>'Historical Expenditure-Volumes'!D34*'Historical Expenditure-Volumes'!$I34</f>
        <v>0</v>
      </c>
      <c r="D76" s="98">
        <f>'Historical Expenditure-Volumes'!E34*'Historical Expenditure-Volumes'!$I34</f>
        <v>0</v>
      </c>
      <c r="E76" s="98">
        <f>'Historical Expenditure-Volumes'!F34*'Historical Expenditure-Volumes'!$I34</f>
        <v>0</v>
      </c>
      <c r="F76" s="98">
        <f>'Historical Expenditure-Volumes'!G34*'Historical Expenditure-Volumes'!$I34</f>
        <v>0</v>
      </c>
      <c r="G76" s="97">
        <f ca="1">SUMIF('Major Projects'!$B$8:$I$10,$B76,'Major Projects'!C$8:C$10)*Inflation!$L$10</f>
        <v>0</v>
      </c>
      <c r="H76" s="97">
        <f ca="1">SUMIF('Major Projects'!$B$8:$I$10,$B76,'Major Projects'!D$8:D$10)*Inflation!$L$10</f>
        <v>0</v>
      </c>
      <c r="I76" s="97">
        <f ca="1">SUMIF('Major Projects'!$B$8:$I$10,$B76,'Major Projects'!E$8:E$10)*Inflation!$L$10*'Forecast Contributions'!$I$25</f>
        <v>0</v>
      </c>
      <c r="J76" s="97">
        <f ca="1">SUMIF('Major Projects'!$B$8:$I$10,$B76,'Major Projects'!F$8:F$10)*Inflation!$L$10</f>
        <v>0</v>
      </c>
      <c r="K76" s="97">
        <f ca="1">SUMIF('Major Projects'!$B$8:$I$10,$B76,'Major Projects'!G$8:G$10)*Inflation!$L$10</f>
        <v>0</v>
      </c>
      <c r="L76" s="97">
        <f ca="1">SUMIF('Major Projects'!$B$8:$I$10,$B76,'Major Projects'!H$8:H$10)*Inflation!$L$10</f>
        <v>0</v>
      </c>
      <c r="M76" s="97">
        <f ca="1">SUMIF('Major Projects'!$B$8:$I$10,$B76,'Major Projects'!I$8:I$10)*Inflation!$L$10</f>
        <v>0</v>
      </c>
      <c r="N76" s="143"/>
      <c r="O76" s="143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143"/>
      <c r="AB76" s="4"/>
      <c r="AC76" s="4"/>
    </row>
    <row r="77" spans="1:30" s="60" customFormat="1" x14ac:dyDescent="0.2">
      <c r="A77" s="4"/>
      <c r="B77" s="68">
        <f t="shared" si="6"/>
        <v>109</v>
      </c>
      <c r="C77" s="98">
        <f>'Historical Expenditure-Volumes'!D35*'Historical Expenditure-Volumes'!$I35</f>
        <v>0</v>
      </c>
      <c r="D77" s="98">
        <f>'Historical Expenditure-Volumes'!E35*'Historical Expenditure-Volumes'!$I35</f>
        <v>0</v>
      </c>
      <c r="E77" s="98">
        <f>'Historical Expenditure-Volumes'!F35*'Historical Expenditure-Volumes'!$I35</f>
        <v>0</v>
      </c>
      <c r="F77" s="98">
        <f>'Historical Expenditure-Volumes'!G35*'Historical Expenditure-Volumes'!$I35</f>
        <v>0</v>
      </c>
      <c r="G77" s="97">
        <f ca="1">SUMIF('Major Projects'!$B$8:$I$10,$B77,'Major Projects'!C$8:C$10)*Inflation!$L$10</f>
        <v>0</v>
      </c>
      <c r="H77" s="97">
        <f ca="1">SUMIF('Major Projects'!$B$8:$I$10,$B77,'Major Projects'!D$8:D$10)*Inflation!$L$10</f>
        <v>0</v>
      </c>
      <c r="I77" s="97">
        <f ca="1">SUMIF('Major Projects'!$B$8:$I$10,$B77,'Major Projects'!E$8:E$10)*Inflation!$L$10*'Forecast Contributions'!$I$25</f>
        <v>0</v>
      </c>
      <c r="J77" s="97">
        <f ca="1">SUMIF('Major Projects'!$B$8:$I$10,$B77,'Major Projects'!F$8:F$10)*Inflation!$L$10</f>
        <v>0</v>
      </c>
      <c r="K77" s="97">
        <f ca="1">SUMIF('Major Projects'!$B$8:$I$10,$B77,'Major Projects'!G$8:G$10)*Inflation!$L$10</f>
        <v>0</v>
      </c>
      <c r="L77" s="97">
        <f ca="1">SUMIF('Major Projects'!$B$8:$I$10,$B77,'Major Projects'!H$8:H$10)*Inflation!$L$10</f>
        <v>0</v>
      </c>
      <c r="M77" s="97">
        <f ca="1">SUMIF('Major Projects'!$B$8:$I$10,$B77,'Major Projects'!I$8:I$10)*Inflation!$L$10</f>
        <v>0</v>
      </c>
      <c r="N77" s="143"/>
      <c r="O77" s="143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143"/>
      <c r="AB77" s="4"/>
      <c r="AC77" s="4"/>
    </row>
    <row r="78" spans="1:30" s="60" customFormat="1" x14ac:dyDescent="0.2">
      <c r="A78" s="4"/>
      <c r="B78" s="68">
        <f t="shared" si="6"/>
        <v>110</v>
      </c>
      <c r="C78" s="98">
        <f>'Historical Expenditure-Volumes'!D36*'Historical Expenditure-Volumes'!$I36</f>
        <v>0</v>
      </c>
      <c r="D78" s="98">
        <f>'Historical Expenditure-Volumes'!E36*'Historical Expenditure-Volumes'!$I36</f>
        <v>0</v>
      </c>
      <c r="E78" s="98">
        <f>'Historical Expenditure-Volumes'!F36*'Historical Expenditure-Volumes'!$I36</f>
        <v>0</v>
      </c>
      <c r="F78" s="98">
        <f>'Historical Expenditure-Volumes'!G36*'Historical Expenditure-Volumes'!$I36</f>
        <v>0</v>
      </c>
      <c r="G78" s="97">
        <f ca="1">SUMIF('Major Projects'!$B$8:$I$10,$B78,'Major Projects'!C$8:C$10)*Inflation!$L$10</f>
        <v>0</v>
      </c>
      <c r="H78" s="97">
        <f ca="1">SUMIF('Major Projects'!$B$8:$I$10,$B78,'Major Projects'!D$8:D$10)*Inflation!$L$10</f>
        <v>0</v>
      </c>
      <c r="I78" s="97">
        <f ca="1">SUMIF('Major Projects'!$B$8:$I$10,$B78,'Major Projects'!E$8:E$10)*Inflation!$L$10*'Forecast Contributions'!$I$25</f>
        <v>0</v>
      </c>
      <c r="J78" s="97">
        <f ca="1">SUMIF('Major Projects'!$B$8:$I$10,$B78,'Major Projects'!F$8:F$10)*Inflation!$L$10</f>
        <v>0</v>
      </c>
      <c r="K78" s="97">
        <f ca="1">SUMIF('Major Projects'!$B$8:$I$10,$B78,'Major Projects'!G$8:G$10)*Inflation!$L$10</f>
        <v>0</v>
      </c>
      <c r="L78" s="97">
        <f ca="1">SUMIF('Major Projects'!$B$8:$I$10,$B78,'Major Projects'!H$8:H$10)*Inflation!$L$10</f>
        <v>0</v>
      </c>
      <c r="M78" s="97">
        <f ca="1">SUMIF('Major Projects'!$B$8:$I$10,$B78,'Major Projects'!I$8:I$10)*Inflation!$L$10</f>
        <v>0</v>
      </c>
      <c r="N78" s="143"/>
      <c r="O78" s="143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143"/>
      <c r="AB78" s="4"/>
      <c r="AC78" s="4"/>
    </row>
    <row r="79" spans="1:30" s="60" customFormat="1" x14ac:dyDescent="0.2">
      <c r="A79" s="4"/>
      <c r="B79" s="68">
        <f t="shared" si="6"/>
        <v>111</v>
      </c>
      <c r="C79" s="98">
        <f>'Historical Expenditure-Volumes'!D37*'Historical Expenditure-Volumes'!$I37</f>
        <v>0</v>
      </c>
      <c r="D79" s="98">
        <f>'Historical Expenditure-Volumes'!E37*'Historical Expenditure-Volumes'!$I37</f>
        <v>0</v>
      </c>
      <c r="E79" s="98">
        <f>'Historical Expenditure-Volumes'!F37*'Historical Expenditure-Volumes'!$I37</f>
        <v>0</v>
      </c>
      <c r="F79" s="98">
        <f>'Historical Expenditure-Volumes'!G37*'Historical Expenditure-Volumes'!$I37</f>
        <v>0</v>
      </c>
      <c r="G79" s="97">
        <f ca="1">SUMIF('Major Projects'!$B$8:$I$10,$B79,'Major Projects'!C$8:C$10)*Inflation!$L$10</f>
        <v>0</v>
      </c>
      <c r="H79" s="97">
        <f ca="1">SUMIF('Major Projects'!$B$8:$I$10,$B79,'Major Projects'!D$8:D$10)*Inflation!$L$10</f>
        <v>0</v>
      </c>
      <c r="I79" s="97">
        <f ca="1">SUMIF('Major Projects'!$B$8:$I$10,$B79,'Major Projects'!E$8:E$10)*Inflation!$L$10*'Forecast Contributions'!$I$25</f>
        <v>0</v>
      </c>
      <c r="J79" s="97">
        <f ca="1">SUMIF('Major Projects'!$B$8:$I$10,$B79,'Major Projects'!F$8:F$10)*Inflation!$L$10</f>
        <v>0</v>
      </c>
      <c r="K79" s="97">
        <f ca="1">SUMIF('Major Projects'!$B$8:$I$10,$B79,'Major Projects'!G$8:G$10)*Inflation!$L$10</f>
        <v>0</v>
      </c>
      <c r="L79" s="97">
        <f ca="1">SUMIF('Major Projects'!$B$8:$I$10,$B79,'Major Projects'!H$8:H$10)*Inflation!$L$10</f>
        <v>0</v>
      </c>
      <c r="M79" s="97">
        <f ca="1">SUMIF('Major Projects'!$B$8:$I$10,$B79,'Major Projects'!I$8:I$10)*Inflation!$L$10</f>
        <v>0</v>
      </c>
      <c r="N79" s="143"/>
      <c r="O79" s="143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143"/>
      <c r="AB79" s="4"/>
      <c r="AC79" s="4"/>
    </row>
    <row r="80" spans="1:30" s="60" customFormat="1" x14ac:dyDescent="0.2">
      <c r="A80" s="4"/>
      <c r="B80" s="68">
        <f t="shared" si="6"/>
        <v>114</v>
      </c>
      <c r="C80" s="98">
        <f>'Historical Expenditure-Volumes'!D38*'Historical Expenditure-Volumes'!$I38</f>
        <v>0</v>
      </c>
      <c r="D80" s="98">
        <f>'Historical Expenditure-Volumes'!E38*'Historical Expenditure-Volumes'!$I38</f>
        <v>0</v>
      </c>
      <c r="E80" s="98">
        <f>'Historical Expenditure-Volumes'!F38*'Historical Expenditure-Volumes'!$I38</f>
        <v>0</v>
      </c>
      <c r="F80" s="98">
        <f>'Historical Expenditure-Volumes'!G38*'Historical Expenditure-Volumes'!$I38</f>
        <v>0</v>
      </c>
      <c r="G80" s="97">
        <f ca="1">SUMIF('Major Projects'!$B$8:$I$10,$B80,'Major Projects'!C$8:C$10)*Inflation!$L$10</f>
        <v>0</v>
      </c>
      <c r="H80" s="97">
        <f ca="1">SUMIF('Major Projects'!$B$8:$I$10,$B80,'Major Projects'!D$8:D$10)*Inflation!$L$10</f>
        <v>0</v>
      </c>
      <c r="I80" s="97">
        <f ca="1">SUMIF('Major Projects'!$B$8:$I$10,$B80,'Major Projects'!E$8:E$10)*Inflation!$L$10*'Forecast Contributions'!$I$25</f>
        <v>0</v>
      </c>
      <c r="J80" s="97">
        <f ca="1">SUMIF('Major Projects'!$B$8:$I$10,$B80,'Major Projects'!F$8:F$10)*Inflation!$L$10</f>
        <v>0</v>
      </c>
      <c r="K80" s="97">
        <f ca="1">SUMIF('Major Projects'!$B$8:$I$10,$B80,'Major Projects'!G$8:G$10)*Inflation!$L$10</f>
        <v>0</v>
      </c>
      <c r="L80" s="97">
        <f ca="1">SUMIF('Major Projects'!$B$8:$I$10,$B80,'Major Projects'!H$8:H$10)*Inflation!$L$10</f>
        <v>0</v>
      </c>
      <c r="M80" s="97">
        <f ca="1">SUMIF('Major Projects'!$B$8:$I$10,$B80,'Major Projects'!I$8:I$10)*Inflation!$L$10</f>
        <v>0</v>
      </c>
      <c r="N80" s="143"/>
      <c r="O80" s="143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143"/>
      <c r="AB80" s="4"/>
      <c r="AC80" s="4"/>
    </row>
    <row r="81" spans="1:30" s="60" customFormat="1" x14ac:dyDescent="0.2">
      <c r="A81" s="4"/>
      <c r="B81" s="68">
        <f t="shared" si="6"/>
        <v>115</v>
      </c>
      <c r="C81" s="98">
        <f>'Historical Expenditure-Volumes'!D39*'Historical Expenditure-Volumes'!$I39</f>
        <v>0</v>
      </c>
      <c r="D81" s="98">
        <f>'Historical Expenditure-Volumes'!E39*'Historical Expenditure-Volumes'!$I39</f>
        <v>0</v>
      </c>
      <c r="E81" s="98">
        <f>'Historical Expenditure-Volumes'!F39*'Historical Expenditure-Volumes'!$I39</f>
        <v>0</v>
      </c>
      <c r="F81" s="98">
        <f>'Historical Expenditure-Volumes'!G39*'Historical Expenditure-Volumes'!$I39</f>
        <v>0</v>
      </c>
      <c r="G81" s="97">
        <f ca="1">SUMIF('Major Projects'!$B$8:$I$10,$B81,'Major Projects'!C$8:C$10)*Inflation!$L$10</f>
        <v>0</v>
      </c>
      <c r="H81" s="97">
        <f ca="1">SUMIF('Major Projects'!$B$8:$I$10,$B81,'Major Projects'!D$8:D$10)*Inflation!$L$10</f>
        <v>0</v>
      </c>
      <c r="I81" s="97">
        <f ca="1">SUMIF('Major Projects'!$B$8:$I$10,$B81,'Major Projects'!E$8:E$10)*Inflation!$L$10*'Forecast Contributions'!$I$25</f>
        <v>0</v>
      </c>
      <c r="J81" s="97">
        <f ca="1">SUMIF('Major Projects'!$B$8:$I$10,$B81,'Major Projects'!F$8:F$10)*Inflation!$L$10</f>
        <v>0</v>
      </c>
      <c r="K81" s="97">
        <f ca="1">SUMIF('Major Projects'!$B$8:$I$10,$B81,'Major Projects'!G$8:G$10)*Inflation!$L$10</f>
        <v>0</v>
      </c>
      <c r="L81" s="97">
        <f ca="1">SUMIF('Major Projects'!$B$8:$I$10,$B81,'Major Projects'!H$8:H$10)*Inflation!$L$10</f>
        <v>0</v>
      </c>
      <c r="M81" s="97">
        <f ca="1">SUMIF('Major Projects'!$B$8:$I$10,$B81,'Major Projects'!I$8:I$10)*Inflation!$L$10</f>
        <v>0</v>
      </c>
      <c r="N81" s="143"/>
      <c r="O81" s="143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143"/>
      <c r="AB81" s="4"/>
      <c r="AC81" s="4"/>
    </row>
    <row r="82" spans="1:30" s="60" customFormat="1" x14ac:dyDescent="0.2">
      <c r="A82" s="4"/>
      <c r="B82" s="68">
        <f t="shared" si="6"/>
        <v>116</v>
      </c>
      <c r="C82" s="200">
        <f>'Historical Expenditure-Volumes'!D40*'Historical Expenditure-Volumes'!$I40</f>
        <v>0</v>
      </c>
      <c r="D82" s="98">
        <f>'Historical Expenditure-Volumes'!E40*'Historical Expenditure-Volumes'!$I40</f>
        <v>0</v>
      </c>
      <c r="E82" s="98">
        <f>'Historical Expenditure-Volumes'!F40*'Historical Expenditure-Volumes'!$I40</f>
        <v>0</v>
      </c>
      <c r="F82" s="98">
        <f>'Historical Expenditure-Volumes'!G40*'Historical Expenditure-Volumes'!$I40</f>
        <v>0</v>
      </c>
      <c r="G82" s="97">
        <f ca="1">SUMIF('Major Projects'!$B$8:$I$10,$B82,'Major Projects'!C$8:C$10)*Inflation!$L$10</f>
        <v>15424778.761061948</v>
      </c>
      <c r="H82" s="97">
        <f ca="1">SUMIF('Major Projects'!$B$8:$I$10,$B82,'Major Projects'!D$8:D$10)*Inflation!$L$10</f>
        <v>9049203.5398230087</v>
      </c>
      <c r="I82" s="97">
        <f ca="1">SUMIF('Major Projects'!$B$8:$I$10,$B82,'Major Projects'!E$8:E$10)*Inflation!$L$10*'Forecast Contributions'!$I$25</f>
        <v>7745048.9566621799</v>
      </c>
      <c r="J82" s="97">
        <f ca="1">SUMIF('Major Projects'!$B$8:$I$10,$B82,'Major Projects'!F$8:F$10)*Inflation!$L$10</f>
        <v>10283185.840707965</v>
      </c>
      <c r="K82" s="97">
        <f ca="1">SUMIF('Major Projects'!$B$8:$I$10,$B82,'Major Projects'!G$8:G$10)*Inflation!$L$10</f>
        <v>0</v>
      </c>
      <c r="L82" s="97">
        <f ca="1">SUMIF('Major Projects'!$B$8:$I$10,$B82,'Major Projects'!H$8:H$10)*Inflation!$L$10</f>
        <v>0</v>
      </c>
      <c r="M82" s="97">
        <f ca="1">SUMIF('Major Projects'!$B$8:$I$10,$B82,'Major Projects'!I$8:I$10)*Inflation!$L$10</f>
        <v>0</v>
      </c>
      <c r="N82" s="143"/>
      <c r="O82" s="143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143"/>
      <c r="AB82" s="4"/>
      <c r="AC82" s="4"/>
    </row>
    <row r="83" spans="1:30" s="60" customFormat="1" x14ac:dyDescent="0.2">
      <c r="A83" s="4"/>
      <c r="B83" s="68">
        <f t="shared" si="6"/>
        <v>118</v>
      </c>
      <c r="C83" s="98">
        <f>'Historical Expenditure-Volumes'!D41*'Historical Expenditure-Volumes'!$I41</f>
        <v>47574.650084985835</v>
      </c>
      <c r="D83" s="98">
        <f>'Historical Expenditure-Volumes'!E41*'Historical Expenditure-Volumes'!$I41</f>
        <v>33639.164967441859</v>
      </c>
      <c r="E83" s="98">
        <f>'Historical Expenditure-Volumes'!F41*'Historical Expenditure-Volumes'!$I41</f>
        <v>26611.929263351751</v>
      </c>
      <c r="F83" s="98">
        <f>'Historical Expenditure-Volumes'!G41*'Historical Expenditure-Volumes'!$I41</f>
        <v>7645.5990969869927</v>
      </c>
      <c r="G83" s="97">
        <f ca="1">SUMIF('Major Projects'!$B$8:$I$10,$B83,'Major Projects'!C$8:C$10)*Inflation!$L$10</f>
        <v>28870.382753719612</v>
      </c>
      <c r="H83" s="97">
        <f ca="1">SUMIF('Major Projects'!$B$8:$I$10,$B83,'Major Projects'!D$8:D$10)*Inflation!$L$10</f>
        <v>28870.382753719612</v>
      </c>
      <c r="I83" s="97">
        <f ca="1">SUMIF('Major Projects'!$B$8:$I$10,$B83,'Major Projects'!E$8:E$10)*Inflation!$L$10*'Forecast Contributions'!$I$25</f>
        <v>16726.523000291359</v>
      </c>
      <c r="J83" s="97">
        <f ca="1">SUMIF('Major Projects'!$B$8:$I$10,$B83,'Major Projects'!F$8:F$10)*Inflation!$L$10</f>
        <v>28870.382753719612</v>
      </c>
      <c r="K83" s="97">
        <f ca="1">SUMIF('Major Projects'!$B$8:$I$10,$B83,'Major Projects'!G$8:G$10)*Inflation!$L$10</f>
        <v>28870.382753719612</v>
      </c>
      <c r="L83" s="97">
        <f ca="1">SUMIF('Major Projects'!$B$8:$I$10,$B83,'Major Projects'!H$8:H$10)*Inflation!$L$10</f>
        <v>28870.382753719612</v>
      </c>
      <c r="M83" s="97">
        <f ca="1">SUMIF('Major Projects'!$B$8:$I$10,$B83,'Major Projects'!I$8:I$10)*Inflation!$L$10</f>
        <v>28870.382753719612</v>
      </c>
      <c r="N83" s="143"/>
      <c r="O83" s="143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143"/>
      <c r="AB83" s="4"/>
      <c r="AC83" s="4"/>
    </row>
    <row r="84" spans="1:30" s="60" customFormat="1" x14ac:dyDescent="0.2">
      <c r="A84" s="4"/>
      <c r="B84" s="74" t="s">
        <v>36</v>
      </c>
      <c r="C84" s="202">
        <f t="shared" ref="C84:M84" si="7">SUM(C71:C83)</f>
        <v>3178017.6990273842</v>
      </c>
      <c r="D84" s="58">
        <f t="shared" si="7"/>
        <v>3534368.1419069772</v>
      </c>
      <c r="E84" s="58">
        <f t="shared" si="7"/>
        <v>2058363.6810036835</v>
      </c>
      <c r="F84" s="58">
        <f t="shared" si="7"/>
        <v>2930120.7993075126</v>
      </c>
      <c r="G84" s="58">
        <f t="shared" ca="1" si="7"/>
        <v>19086548.192318015</v>
      </c>
      <c r="H84" s="58">
        <f t="shared" ca="1" si="7"/>
        <v>15674253.879470242</v>
      </c>
      <c r="I84" s="58">
        <f t="shared" ca="1" si="7"/>
        <v>11734598.084088793</v>
      </c>
      <c r="J84" s="58">
        <f t="shared" ca="1" si="7"/>
        <v>15427879.034594389</v>
      </c>
      <c r="K84" s="58">
        <f t="shared" ca="1" si="7"/>
        <v>7366288.0620395178</v>
      </c>
      <c r="L84" s="58">
        <f t="shared" ca="1" si="7"/>
        <v>2923098.3257333268</v>
      </c>
      <c r="M84" s="58">
        <f t="shared" ca="1" si="7"/>
        <v>2923098.3257333268</v>
      </c>
      <c r="N84" s="143"/>
      <c r="O84" s="143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143"/>
      <c r="AB84" s="4"/>
      <c r="AC84" s="4"/>
    </row>
    <row r="85" spans="1:30" s="60" customFormat="1" x14ac:dyDescent="0.2">
      <c r="A85" s="4"/>
      <c r="B85" s="4" t="s">
        <v>231</v>
      </c>
      <c r="C85" s="203">
        <f>C84-SUM('Historical Expenditure-Volumes'!D33,'Historical Expenditure-Volumes'!D41)</f>
        <v>0</v>
      </c>
      <c r="D85" s="203">
        <f>D84-SUM('Historical Expenditure-Volumes'!E33,'Historical Expenditure-Volumes'!E41)</f>
        <v>0</v>
      </c>
      <c r="E85" s="203">
        <f>E84-SUM('Historical Expenditure-Volumes'!F33,'Historical Expenditure-Volumes'!F41)</f>
        <v>0</v>
      </c>
      <c r="F85" s="203">
        <f>F84-SUM('Historical Expenditure-Volumes'!G33,'Historical Expenditure-Volumes'!G41)</f>
        <v>0</v>
      </c>
      <c r="G85" s="198">
        <f ca="1">G84-'Major Projects'!C11*Inflation!$L$10</f>
        <v>0</v>
      </c>
      <c r="H85" s="198">
        <f ca="1">H84-'Major Projects'!D11*Inflation!$L$10</f>
        <v>0</v>
      </c>
      <c r="I85" s="198"/>
      <c r="J85" s="198">
        <f ca="1">J84-'Major Projects'!F11*Inflation!$L$10</f>
        <v>0</v>
      </c>
      <c r="K85" s="198">
        <f ca="1">K84-'Major Projects'!G11*Inflation!$L$10</f>
        <v>0</v>
      </c>
      <c r="L85" s="198">
        <f ca="1">L84-'Major Projects'!H11*Inflation!$L$10</f>
        <v>0</v>
      </c>
      <c r="M85" s="198">
        <f ca="1">M84-'Major Projects'!I11*Inflation!$L$10</f>
        <v>0</v>
      </c>
      <c r="N85" s="4"/>
      <c r="O85" s="143"/>
      <c r="P85" s="143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143"/>
      <c r="AC85" s="4"/>
      <c r="AD85" s="4"/>
    </row>
    <row r="86" spans="1:30" s="162" customFormat="1" x14ac:dyDescent="0.2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</row>
    <row r="87" spans="1:30" s="60" customForma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143"/>
      <c r="P87" s="143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143"/>
      <c r="AC87" s="4"/>
      <c r="AD87" s="4"/>
    </row>
    <row r="88" spans="1:30" x14ac:dyDescent="0.2">
      <c r="A88" s="4"/>
      <c r="B88" s="34" t="str">
        <f>"Forecast Expenditure by Function Code (Total)"</f>
        <v>Forecast Expenditure by Function Code (Total)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143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143"/>
      <c r="AC88" s="4"/>
      <c r="AD88" s="4"/>
    </row>
    <row r="89" spans="1:30" x14ac:dyDescent="0.2">
      <c r="A89" s="4"/>
      <c r="B89" s="132" t="s">
        <v>283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143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143"/>
      <c r="AC89" s="4"/>
      <c r="AD89" s="4"/>
    </row>
    <row r="90" spans="1:30" x14ac:dyDescent="0.2">
      <c r="A90" s="4"/>
      <c r="B90" s="4"/>
      <c r="C90" s="280" t="str">
        <f>"$ "&amp;Inflation!$D$4</f>
        <v>$ 2021</v>
      </c>
      <c r="D90" s="298"/>
      <c r="E90" s="298"/>
      <c r="F90" s="298"/>
      <c r="G90" s="298"/>
      <c r="H90" s="298"/>
      <c r="I90" s="298"/>
      <c r="J90" s="298"/>
      <c r="K90" s="298"/>
      <c r="L90" s="298"/>
      <c r="M90" s="282"/>
      <c r="N90" s="143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143"/>
      <c r="AB90" s="4"/>
      <c r="AC90" s="4"/>
    </row>
    <row r="91" spans="1:30" ht="25.5" x14ac:dyDescent="0.2">
      <c r="A91" s="4"/>
      <c r="B91" s="3" t="s">
        <v>35</v>
      </c>
      <c r="C91" s="3" t="s">
        <v>325</v>
      </c>
      <c r="D91" s="3" t="s">
        <v>326</v>
      </c>
      <c r="E91" s="3" t="s">
        <v>327</v>
      </c>
      <c r="F91" s="163" t="s">
        <v>328</v>
      </c>
      <c r="G91" s="163" t="s">
        <v>312</v>
      </c>
      <c r="H91" s="163" t="s">
        <v>313</v>
      </c>
      <c r="I91" s="163" t="s">
        <v>314</v>
      </c>
      <c r="J91" s="163" t="s">
        <v>315</v>
      </c>
      <c r="K91" s="163" t="s">
        <v>316</v>
      </c>
      <c r="L91" s="163" t="s">
        <v>317</v>
      </c>
      <c r="M91" s="163" t="s">
        <v>318</v>
      </c>
      <c r="N91" s="143"/>
      <c r="O91" s="143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143"/>
      <c r="AB91" s="4"/>
      <c r="AC91" s="4"/>
    </row>
    <row r="92" spans="1:30" x14ac:dyDescent="0.2">
      <c r="A92" s="4"/>
      <c r="B92" s="68">
        <f t="shared" ref="B92:B104" si="8">B8</f>
        <v>102</v>
      </c>
      <c r="C92" s="97">
        <f t="shared" ref="C92:M92" si="9">C50+C71</f>
        <v>1237191.0284702622</v>
      </c>
      <c r="D92" s="97">
        <f t="shared" si="9"/>
        <v>1778522.1292186046</v>
      </c>
      <c r="E92" s="97">
        <f t="shared" si="9"/>
        <v>2787602.4552117866</v>
      </c>
      <c r="F92" s="97">
        <f t="shared" si="9"/>
        <v>3623657.2103170725</v>
      </c>
      <c r="G92" s="190">
        <f ca="1">G50+G71</f>
        <v>2356743.2058044318</v>
      </c>
      <c r="H92" s="97">
        <f t="shared" ca="1" si="9"/>
        <v>2269345.5659651007</v>
      </c>
      <c r="I92" s="97">
        <f t="shared" ca="1" si="9"/>
        <v>1343741.2354710039</v>
      </c>
      <c r="J92" s="97">
        <f t="shared" ca="1" si="9"/>
        <v>2384279.4484935366</v>
      </c>
      <c r="K92" s="97">
        <f t="shared" ca="1" si="9"/>
        <v>2424386.5845841886</v>
      </c>
      <c r="L92" s="97">
        <f t="shared" ca="1" si="9"/>
        <v>2437556.0919572385</v>
      </c>
      <c r="M92" s="97">
        <f t="shared" ca="1" si="9"/>
        <v>2452222.1342590442</v>
      </c>
      <c r="N92" s="143"/>
      <c r="O92" s="143"/>
      <c r="P92" s="1"/>
      <c r="Q92" s="4"/>
      <c r="R92" s="4"/>
      <c r="S92" s="4"/>
      <c r="T92" s="4"/>
      <c r="U92" s="4"/>
      <c r="V92" s="4"/>
      <c r="W92" s="4"/>
      <c r="X92" s="4"/>
      <c r="Y92" s="4"/>
      <c r="Z92" s="4"/>
      <c r="AA92" s="143"/>
      <c r="AB92" s="4"/>
      <c r="AC92" s="4"/>
    </row>
    <row r="93" spans="1:30" x14ac:dyDescent="0.2">
      <c r="A93" s="4"/>
      <c r="B93" s="68">
        <f t="shared" si="8"/>
        <v>104</v>
      </c>
      <c r="C93" s="97">
        <f t="shared" ref="C93:M93" si="10">C51+C72</f>
        <v>144.30086874409818</v>
      </c>
      <c r="D93" s="97">
        <f t="shared" si="10"/>
        <v>74557.168195348844</v>
      </c>
      <c r="E93" s="97">
        <f t="shared" si="10"/>
        <v>75835.880985263866</v>
      </c>
      <c r="F93" s="97">
        <f t="shared" si="10"/>
        <v>6795.4746702800376</v>
      </c>
      <c r="G93" s="190">
        <f t="shared" ca="1" si="10"/>
        <v>39333.206179909212</v>
      </c>
      <c r="H93" s="97">
        <f t="shared" ca="1" si="10"/>
        <v>39333.206179909212</v>
      </c>
      <c r="I93" s="97">
        <f ca="1">I51+I72</f>
        <v>22788.32890633187</v>
      </c>
      <c r="J93" s="97">
        <f t="shared" ca="1" si="10"/>
        <v>39333.206179909212</v>
      </c>
      <c r="K93" s="97">
        <f t="shared" ca="1" si="10"/>
        <v>39333.206179909212</v>
      </c>
      <c r="L93" s="97">
        <f t="shared" ca="1" si="10"/>
        <v>39333.206179909212</v>
      </c>
      <c r="M93" s="97">
        <f t="shared" ca="1" si="10"/>
        <v>39333.206179909212</v>
      </c>
      <c r="N93" s="143"/>
      <c r="O93" s="143"/>
      <c r="P93" s="1"/>
      <c r="Q93" s="4"/>
      <c r="R93" s="4"/>
      <c r="S93" s="4"/>
      <c r="T93" s="4"/>
      <c r="U93" s="4"/>
      <c r="V93" s="4"/>
      <c r="W93" s="4"/>
      <c r="X93" s="4"/>
      <c r="Y93" s="4"/>
      <c r="Z93" s="4"/>
      <c r="AA93" s="143"/>
      <c r="AB93" s="4"/>
      <c r="AC93" s="4"/>
    </row>
    <row r="94" spans="1:30" x14ac:dyDescent="0.2">
      <c r="A94" s="4"/>
      <c r="B94" s="68">
        <f t="shared" si="8"/>
        <v>105</v>
      </c>
      <c r="C94" s="97">
        <f t="shared" ref="C94:M94" si="11">C52+C73</f>
        <v>6608224.7573087811</v>
      </c>
      <c r="D94" s="97">
        <f t="shared" si="11"/>
        <v>6825448.8140186043</v>
      </c>
      <c r="E94" s="97">
        <f t="shared" si="11"/>
        <v>7188391.566832413</v>
      </c>
      <c r="F94" s="97">
        <f t="shared" si="11"/>
        <v>8227740.4618016072</v>
      </c>
      <c r="G94" s="190">
        <f t="shared" ca="1" si="11"/>
        <v>7212451.3999903509</v>
      </c>
      <c r="H94" s="97">
        <f t="shared" ca="1" si="11"/>
        <v>7022364.2019484369</v>
      </c>
      <c r="I94" s="97">
        <f t="shared" ca="1" si="11"/>
        <v>6710078.0908795772</v>
      </c>
      <c r="J94" s="97">
        <f t="shared" ca="1" si="11"/>
        <v>5336019.202176597</v>
      </c>
      <c r="K94" s="97">
        <f t="shared" ca="1" si="11"/>
        <v>5365890.0475831833</v>
      </c>
      <c r="L94" s="97">
        <f t="shared" ca="1" si="11"/>
        <v>5963306.9557149159</v>
      </c>
      <c r="M94" s="97">
        <f t="shared" ca="1" si="11"/>
        <v>6090936.9315430578</v>
      </c>
      <c r="N94" s="143"/>
      <c r="O94" s="143"/>
      <c r="P94" s="1"/>
      <c r="Q94" s="4"/>
      <c r="R94" s="4"/>
      <c r="S94" s="4"/>
      <c r="T94" s="4"/>
      <c r="U94" s="4"/>
      <c r="V94" s="4"/>
      <c r="W94" s="4"/>
      <c r="X94" s="4"/>
      <c r="Y94" s="4"/>
      <c r="Z94" s="4"/>
      <c r="AA94" s="143"/>
      <c r="AB94" s="4"/>
      <c r="AC94" s="4"/>
    </row>
    <row r="95" spans="1:30" x14ac:dyDescent="0.2">
      <c r="A95" s="4"/>
      <c r="B95" s="68">
        <f t="shared" si="8"/>
        <v>106</v>
      </c>
      <c r="C95" s="97">
        <f t="shared" ref="C95:M95" si="12">C53+C74</f>
        <v>10273555.789376771</v>
      </c>
      <c r="D95" s="97">
        <f t="shared" si="12"/>
        <v>8699363.528083723</v>
      </c>
      <c r="E95" s="97">
        <f t="shared" si="12"/>
        <v>9378640.182771638</v>
      </c>
      <c r="F95" s="97">
        <f t="shared" si="12"/>
        <v>9803380.9449099898</v>
      </c>
      <c r="G95" s="190">
        <f t="shared" ca="1" si="12"/>
        <v>9538735.11128553</v>
      </c>
      <c r="H95" s="97">
        <f t="shared" ca="1" si="12"/>
        <v>9668208.2471450828</v>
      </c>
      <c r="I95" s="97">
        <f t="shared" ca="1" si="12"/>
        <v>9822783.3175080214</v>
      </c>
      <c r="J95" s="97">
        <f t="shared" ca="1" si="12"/>
        <v>9236190.7427973859</v>
      </c>
      <c r="K95" s="97">
        <f t="shared" ca="1" si="12"/>
        <v>9059156.0468261596</v>
      </c>
      <c r="L95" s="97">
        <f t="shared" ca="1" si="12"/>
        <v>9359058.1064192094</v>
      </c>
      <c r="M95" s="97">
        <f t="shared" ca="1" si="12"/>
        <v>9513633.1767821461</v>
      </c>
      <c r="N95" s="143"/>
      <c r="O95" s="143"/>
      <c r="P95" s="1"/>
      <c r="Q95" s="4"/>
      <c r="R95" s="4"/>
      <c r="S95" s="4"/>
      <c r="T95" s="4"/>
      <c r="U95" s="4"/>
      <c r="V95" s="4"/>
      <c r="W95" s="4"/>
      <c r="X95" s="4"/>
      <c r="Y95" s="4"/>
      <c r="Z95" s="4"/>
      <c r="AA95" s="143"/>
      <c r="AB95" s="4"/>
      <c r="AC95" s="4"/>
    </row>
    <row r="96" spans="1:30" x14ac:dyDescent="0.2">
      <c r="A96" s="4"/>
      <c r="B96" s="68">
        <f t="shared" si="8"/>
        <v>107</v>
      </c>
      <c r="C96" s="97">
        <f t="shared" ref="C96:M96" si="13">C54+C75</f>
        <v>3130443.0489423983</v>
      </c>
      <c r="D96" s="97">
        <f t="shared" si="13"/>
        <v>3500728.9769395352</v>
      </c>
      <c r="E96" s="97">
        <f t="shared" si="13"/>
        <v>2031751.7517403318</v>
      </c>
      <c r="F96" s="97">
        <f t="shared" si="13"/>
        <v>2922475.2002105257</v>
      </c>
      <c r="G96" s="190">
        <f t="shared" ca="1" si="13"/>
        <v>3632899.0485023484</v>
      </c>
      <c r="H96" s="97">
        <f t="shared" ca="1" si="13"/>
        <v>6596179.9568935139</v>
      </c>
      <c r="I96" s="97">
        <f t="shared" ca="1" si="13"/>
        <v>3972822.604426322</v>
      </c>
      <c r="J96" s="97">
        <f t="shared" ca="1" si="13"/>
        <v>5115822.811132703</v>
      </c>
      <c r="K96" s="97">
        <f t="shared" ca="1" si="13"/>
        <v>7337417.6792857982</v>
      </c>
      <c r="L96" s="97">
        <f t="shared" ca="1" si="13"/>
        <v>2894227.9429796073</v>
      </c>
      <c r="M96" s="97">
        <f t="shared" ca="1" si="13"/>
        <v>2894227.9429796073</v>
      </c>
      <c r="N96" s="143"/>
      <c r="O96" s="143"/>
      <c r="P96" s="1"/>
      <c r="Q96" s="4"/>
      <c r="R96" s="4"/>
      <c r="S96" s="4"/>
      <c r="T96" s="4"/>
      <c r="U96" s="4"/>
      <c r="V96" s="4"/>
      <c r="W96" s="4"/>
      <c r="X96" s="4"/>
      <c r="Y96" s="4"/>
      <c r="Z96" s="4"/>
      <c r="AA96" s="143"/>
      <c r="AB96" s="4"/>
      <c r="AC96" s="4"/>
    </row>
    <row r="97" spans="1:29" x14ac:dyDescent="0.2">
      <c r="A97" s="4"/>
      <c r="B97" s="68">
        <f t="shared" si="8"/>
        <v>108</v>
      </c>
      <c r="C97" s="97">
        <f t="shared" ref="C97:M97" si="14">C55+C76</f>
        <v>0</v>
      </c>
      <c r="D97" s="97">
        <f t="shared" si="14"/>
        <v>0</v>
      </c>
      <c r="E97" s="97">
        <f t="shared" si="14"/>
        <v>0</v>
      </c>
      <c r="F97" s="97">
        <f t="shared" si="14"/>
        <v>0</v>
      </c>
      <c r="G97" s="190">
        <f t="shared" ca="1" si="14"/>
        <v>0</v>
      </c>
      <c r="H97" s="97">
        <f t="shared" ca="1" si="14"/>
        <v>0</v>
      </c>
      <c r="I97" s="97">
        <f t="shared" ca="1" si="14"/>
        <v>0</v>
      </c>
      <c r="J97" s="97">
        <f t="shared" ca="1" si="14"/>
        <v>0</v>
      </c>
      <c r="K97" s="97">
        <f t="shared" ca="1" si="14"/>
        <v>0</v>
      </c>
      <c r="L97" s="97">
        <f t="shared" ca="1" si="14"/>
        <v>0</v>
      </c>
      <c r="M97" s="97">
        <f t="shared" ca="1" si="14"/>
        <v>0</v>
      </c>
      <c r="N97" s="143"/>
      <c r="O97" s="143"/>
      <c r="P97" s="1"/>
      <c r="Q97" s="4"/>
      <c r="R97" s="4"/>
      <c r="S97" s="4"/>
      <c r="T97" s="4"/>
      <c r="U97" s="4"/>
      <c r="V97" s="4"/>
      <c r="W97" s="4"/>
      <c r="X97" s="4"/>
      <c r="Y97" s="4"/>
      <c r="Z97" s="4"/>
      <c r="AA97" s="143"/>
      <c r="AB97" s="4"/>
      <c r="AC97" s="4"/>
    </row>
    <row r="98" spans="1:29" x14ac:dyDescent="0.2">
      <c r="A98" s="4"/>
      <c r="B98" s="68">
        <f t="shared" si="8"/>
        <v>109</v>
      </c>
      <c r="C98" s="97">
        <f t="shared" ref="C98:M98" si="15">C56+C77</f>
        <v>2283921.7476770538</v>
      </c>
      <c r="D98" s="97">
        <f t="shared" si="15"/>
        <v>5108223.6116279075</v>
      </c>
      <c r="E98" s="97">
        <f t="shared" si="15"/>
        <v>5856700.6890515657</v>
      </c>
      <c r="F98" s="97">
        <f t="shared" si="15"/>
        <v>7038306.3808360854</v>
      </c>
      <c r="G98" s="190">
        <f t="shared" ca="1" si="15"/>
        <v>6001076.8938385202</v>
      </c>
      <c r="H98" s="97">
        <f t="shared" ca="1" si="15"/>
        <v>5778532.5132186515</v>
      </c>
      <c r="I98" s="97">
        <f t="shared" ca="1" si="15"/>
        <v>3421626.2763047204</v>
      </c>
      <c r="J98" s="97">
        <f t="shared" ca="1" si="15"/>
        <v>6071193.6164995749</v>
      </c>
      <c r="K98" s="97">
        <f t="shared" ca="1" si="15"/>
        <v>6173320.1473319801</v>
      </c>
      <c r="L98" s="97">
        <f t="shared" ca="1" si="15"/>
        <v>6206854.2320829201</v>
      </c>
      <c r="M98" s="97">
        <f t="shared" ca="1" si="15"/>
        <v>6244199.0082828291</v>
      </c>
      <c r="N98" s="143"/>
      <c r="O98" s="143"/>
      <c r="P98" s="1"/>
      <c r="Q98" s="4"/>
      <c r="R98" s="4"/>
      <c r="S98" s="4"/>
      <c r="T98" s="4"/>
      <c r="U98" s="4"/>
      <c r="V98" s="4"/>
      <c r="W98" s="4"/>
      <c r="X98" s="4"/>
      <c r="Y98" s="4"/>
      <c r="Z98" s="4"/>
      <c r="AA98" s="143"/>
      <c r="AB98" s="4"/>
      <c r="AC98" s="4"/>
    </row>
    <row r="99" spans="1:29" x14ac:dyDescent="0.2">
      <c r="A99" s="4"/>
      <c r="B99" s="68">
        <f t="shared" si="8"/>
        <v>110</v>
      </c>
      <c r="C99" s="97">
        <f t="shared" ref="C99:M99" si="16">C57+C78</f>
        <v>0</v>
      </c>
      <c r="D99" s="97">
        <f t="shared" si="16"/>
        <v>0</v>
      </c>
      <c r="E99" s="97">
        <f t="shared" si="16"/>
        <v>0</v>
      </c>
      <c r="F99" s="97">
        <f t="shared" si="16"/>
        <v>0</v>
      </c>
      <c r="G99" s="190">
        <f t="shared" ca="1" si="16"/>
        <v>0</v>
      </c>
      <c r="H99" s="97">
        <f t="shared" ca="1" si="16"/>
        <v>0</v>
      </c>
      <c r="I99" s="97">
        <f t="shared" ca="1" si="16"/>
        <v>0</v>
      </c>
      <c r="J99" s="97">
        <f t="shared" ca="1" si="16"/>
        <v>0</v>
      </c>
      <c r="K99" s="97">
        <f t="shared" ca="1" si="16"/>
        <v>0</v>
      </c>
      <c r="L99" s="97">
        <f t="shared" ca="1" si="16"/>
        <v>0</v>
      </c>
      <c r="M99" s="97">
        <f t="shared" ca="1" si="16"/>
        <v>0</v>
      </c>
      <c r="N99" s="143"/>
      <c r="O99" s="143"/>
      <c r="P99" s="1"/>
      <c r="Q99" s="4"/>
      <c r="R99" s="4"/>
      <c r="S99" s="4"/>
      <c r="T99" s="4"/>
      <c r="U99" s="4"/>
      <c r="V99" s="4"/>
      <c r="W99" s="4"/>
      <c r="X99" s="4"/>
      <c r="Y99" s="4"/>
      <c r="Z99" s="4"/>
      <c r="AA99" s="143"/>
      <c r="AB99" s="4"/>
      <c r="AC99" s="4"/>
    </row>
    <row r="100" spans="1:29" x14ac:dyDescent="0.2">
      <c r="A100" s="4"/>
      <c r="B100" s="68">
        <f t="shared" si="8"/>
        <v>111</v>
      </c>
      <c r="C100" s="97">
        <f t="shared" ref="C100:M100" si="17">C58+C79</f>
        <v>23419589.788290836</v>
      </c>
      <c r="D100" s="97">
        <f t="shared" si="17"/>
        <v>19816587.671023257</v>
      </c>
      <c r="E100" s="97">
        <f t="shared" si="17"/>
        <v>23103041.918581955</v>
      </c>
      <c r="F100" s="97">
        <f t="shared" si="17"/>
        <v>27836716.111980598</v>
      </c>
      <c r="G100" s="190">
        <f t="shared" ca="1" si="17"/>
        <v>23543983.872469161</v>
      </c>
      <c r="H100" s="97">
        <f t="shared" ca="1" si="17"/>
        <v>21717393.883979555</v>
      </c>
      <c r="I100" s="97">
        <f t="shared" ca="1" si="17"/>
        <v>20490153.735463101</v>
      </c>
      <c r="J100" s="97">
        <f t="shared" ca="1" si="17"/>
        <v>19736685.36521114</v>
      </c>
      <c r="K100" s="97">
        <f t="shared" ca="1" si="17"/>
        <v>21483362.041704327</v>
      </c>
      <c r="L100" s="97">
        <f t="shared" ca="1" si="17"/>
        <v>22543164.774609238</v>
      </c>
      <c r="M100" s="97">
        <f t="shared" ca="1" si="17"/>
        <v>22756266.939933021</v>
      </c>
      <c r="N100" s="143"/>
      <c r="O100" s="143"/>
      <c r="P100" s="1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143"/>
      <c r="AB100" s="4"/>
      <c r="AC100" s="4"/>
    </row>
    <row r="101" spans="1:29" x14ac:dyDescent="0.2">
      <c r="A101" s="4"/>
      <c r="B101" s="68">
        <f t="shared" si="8"/>
        <v>114</v>
      </c>
      <c r="C101" s="97">
        <f t="shared" ref="C101:M101" si="18">C59+C80</f>
        <v>0</v>
      </c>
      <c r="D101" s="97">
        <f t="shared" si="18"/>
        <v>0</v>
      </c>
      <c r="E101" s="97">
        <f t="shared" si="18"/>
        <v>0</v>
      </c>
      <c r="F101" s="97">
        <f t="shared" si="18"/>
        <v>0</v>
      </c>
      <c r="G101" s="190">
        <f t="shared" ca="1" si="18"/>
        <v>0</v>
      </c>
      <c r="H101" s="97">
        <f t="shared" ca="1" si="18"/>
        <v>0</v>
      </c>
      <c r="I101" s="97">
        <f t="shared" ca="1" si="18"/>
        <v>0</v>
      </c>
      <c r="J101" s="97">
        <f t="shared" ca="1" si="18"/>
        <v>0</v>
      </c>
      <c r="K101" s="97">
        <f t="shared" ca="1" si="18"/>
        <v>0</v>
      </c>
      <c r="L101" s="97">
        <f t="shared" ca="1" si="18"/>
        <v>0</v>
      </c>
      <c r="M101" s="97">
        <f t="shared" ca="1" si="18"/>
        <v>0</v>
      </c>
      <c r="N101" s="143"/>
      <c r="O101" s="143"/>
      <c r="P101" s="1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143"/>
      <c r="AB101" s="4"/>
      <c r="AC101" s="4"/>
    </row>
    <row r="102" spans="1:29" x14ac:dyDescent="0.2">
      <c r="A102" s="4"/>
      <c r="B102" s="68">
        <f t="shared" si="8"/>
        <v>115</v>
      </c>
      <c r="C102" s="97">
        <f t="shared" ref="C102:M102" si="19">C60+C81</f>
        <v>0</v>
      </c>
      <c r="D102" s="97">
        <f t="shared" si="19"/>
        <v>0</v>
      </c>
      <c r="E102" s="97">
        <f t="shared" si="19"/>
        <v>0</v>
      </c>
      <c r="F102" s="97">
        <f t="shared" si="19"/>
        <v>0</v>
      </c>
      <c r="G102" s="190">
        <f t="shared" ca="1" si="19"/>
        <v>0</v>
      </c>
      <c r="H102" s="97">
        <f t="shared" ca="1" si="19"/>
        <v>0</v>
      </c>
      <c r="I102" s="97">
        <f t="shared" ca="1" si="19"/>
        <v>0</v>
      </c>
      <c r="J102" s="97">
        <f t="shared" ca="1" si="19"/>
        <v>0</v>
      </c>
      <c r="K102" s="97">
        <f t="shared" ca="1" si="19"/>
        <v>0</v>
      </c>
      <c r="L102" s="97">
        <f t="shared" ca="1" si="19"/>
        <v>0</v>
      </c>
      <c r="M102" s="97">
        <f t="shared" ca="1" si="19"/>
        <v>0</v>
      </c>
      <c r="N102" s="143"/>
      <c r="O102" s="143"/>
      <c r="P102" s="1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143"/>
      <c r="AB102" s="4"/>
      <c r="AC102" s="4"/>
    </row>
    <row r="103" spans="1:29" x14ac:dyDescent="0.2">
      <c r="A103" s="4"/>
      <c r="B103" s="68">
        <f t="shared" si="8"/>
        <v>116</v>
      </c>
      <c r="C103" s="97">
        <f t="shared" ref="C103:M103" si="20">C61+C82</f>
        <v>17486026.921775255</v>
      </c>
      <c r="D103" s="97">
        <f t="shared" si="20"/>
        <v>23497723.990251161</v>
      </c>
      <c r="E103" s="97">
        <f t="shared" si="20"/>
        <v>26158466.429769799</v>
      </c>
      <c r="F103" s="97">
        <f t="shared" si="20"/>
        <v>25822969.680028953</v>
      </c>
      <c r="G103" s="190">
        <f t="shared" ca="1" si="20"/>
        <v>38666075.516518235</v>
      </c>
      <c r="H103" s="97">
        <f t="shared" ca="1" si="20"/>
        <v>33436897.70182927</v>
      </c>
      <c r="I103" s="97">
        <f t="shared" ca="1" si="20"/>
        <v>32407878.49624043</v>
      </c>
      <c r="J103" s="97">
        <f t="shared" ca="1" si="20"/>
        <v>35526856.7329382</v>
      </c>
      <c r="K103" s="97">
        <f t="shared" ca="1" si="20"/>
        <v>25411809.178524233</v>
      </c>
      <c r="L103" s="97">
        <f t="shared" ca="1" si="20"/>
        <v>25587590.114195231</v>
      </c>
      <c r="M103" s="97">
        <f t="shared" ca="1" si="20"/>
        <v>25664016.607965227</v>
      </c>
      <c r="N103" s="143"/>
      <c r="O103" s="143"/>
      <c r="P103" s="1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143"/>
      <c r="AB103" s="4"/>
      <c r="AC103" s="4"/>
    </row>
    <row r="104" spans="1:29" x14ac:dyDescent="0.2">
      <c r="A104" s="4"/>
      <c r="B104" s="68">
        <f t="shared" si="8"/>
        <v>118</v>
      </c>
      <c r="C104" s="97">
        <f t="shared" ref="C104:M104" si="21">C62+C83</f>
        <v>47574.650084985835</v>
      </c>
      <c r="D104" s="97">
        <f t="shared" si="21"/>
        <v>33639.164967441859</v>
      </c>
      <c r="E104" s="97">
        <f t="shared" si="21"/>
        <v>26611.929263351751</v>
      </c>
      <c r="F104" s="97">
        <f t="shared" si="21"/>
        <v>7645.5990969869927</v>
      </c>
      <c r="G104" s="190">
        <f t="shared" ca="1" si="21"/>
        <v>28870.382753719612</v>
      </c>
      <c r="H104" s="97">
        <f t="shared" ca="1" si="21"/>
        <v>28870.382753719612</v>
      </c>
      <c r="I104" s="97">
        <f t="shared" ca="1" si="21"/>
        <v>16726.523000291359</v>
      </c>
      <c r="J104" s="97">
        <f t="shared" ca="1" si="21"/>
        <v>28870.382753719612</v>
      </c>
      <c r="K104" s="97">
        <f t="shared" ca="1" si="21"/>
        <v>28870.382753719612</v>
      </c>
      <c r="L104" s="97">
        <f t="shared" ca="1" si="21"/>
        <v>28870.382753719612</v>
      </c>
      <c r="M104" s="97">
        <f t="shared" ca="1" si="21"/>
        <v>28870.382753719612</v>
      </c>
      <c r="N104" s="143"/>
      <c r="O104" s="143"/>
      <c r="P104" s="1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143"/>
      <c r="AB104" s="4"/>
      <c r="AC104" s="4"/>
    </row>
    <row r="105" spans="1:29" x14ac:dyDescent="0.2">
      <c r="A105" s="4"/>
      <c r="B105" s="74" t="s">
        <v>36</v>
      </c>
      <c r="C105" s="58">
        <f t="shared" ref="C105:M105" si="22">SUM(C92:C104)</f>
        <v>64486672.032795087</v>
      </c>
      <c r="D105" s="58">
        <f t="shared" si="22"/>
        <v>69334795.054325581</v>
      </c>
      <c r="E105" s="58">
        <f t="shared" si="22"/>
        <v>76607042.8042081</v>
      </c>
      <c r="F105" s="58">
        <f t="shared" si="22"/>
        <v>85289687.063852102</v>
      </c>
      <c r="G105" s="202">
        <f t="shared" ca="1" si="22"/>
        <v>91020168.6373422</v>
      </c>
      <c r="H105" s="58">
        <f t="shared" ca="1" si="22"/>
        <v>86557125.659913242</v>
      </c>
      <c r="I105" s="58">
        <f t="shared" ca="1" si="22"/>
        <v>78208598.60819979</v>
      </c>
      <c r="J105" s="58">
        <f t="shared" ca="1" si="22"/>
        <v>83475251.508182764</v>
      </c>
      <c r="K105" s="58">
        <f t="shared" ca="1" si="22"/>
        <v>77323545.314773485</v>
      </c>
      <c r="L105" s="58">
        <f t="shared" ca="1" si="22"/>
        <v>75059961.806891993</v>
      </c>
      <c r="M105" s="58">
        <f t="shared" ca="1" si="22"/>
        <v>75683706.330678552</v>
      </c>
      <c r="N105" s="143"/>
      <c r="O105" s="143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143"/>
      <c r="AB105" s="4"/>
      <c r="AC105" s="4"/>
    </row>
    <row r="106" spans="1:29" x14ac:dyDescent="0.2">
      <c r="A106" s="4"/>
      <c r="B106" s="4" t="s">
        <v>231</v>
      </c>
      <c r="C106" s="198">
        <f>C105-C63-C84</f>
        <v>5.1222741603851318E-9</v>
      </c>
      <c r="D106" s="198">
        <f t="shared" ref="D106:M106" si="23">D105-D63-D84</f>
        <v>0</v>
      </c>
      <c r="E106" s="198">
        <f t="shared" si="23"/>
        <v>-8.6147338151931763E-9</v>
      </c>
      <c r="F106" s="198">
        <f t="shared" si="23"/>
        <v>1.257285475730896E-8</v>
      </c>
      <c r="G106" s="198">
        <f t="shared" ca="1" si="23"/>
        <v>0</v>
      </c>
      <c r="H106" s="198">
        <f t="shared" ca="1" si="23"/>
        <v>0</v>
      </c>
      <c r="I106" s="198">
        <f t="shared" ca="1" si="23"/>
        <v>0</v>
      </c>
      <c r="J106" s="198">
        <f t="shared" ca="1" si="23"/>
        <v>-1.6763806343078613E-8</v>
      </c>
      <c r="K106" s="198">
        <f t="shared" ca="1" si="23"/>
        <v>-8.3819031715393066E-9</v>
      </c>
      <c r="L106" s="198">
        <f t="shared" ca="1" si="23"/>
        <v>6.9849193096160889E-9</v>
      </c>
      <c r="M106" s="198">
        <f t="shared" ca="1" si="23"/>
        <v>-7.9162418842315674E-9</v>
      </c>
      <c r="N106" s="4"/>
      <c r="O106" s="143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143"/>
      <c r="AB106" s="4"/>
      <c r="AC106" s="4"/>
    </row>
    <row r="107" spans="1:29" s="162" customFormat="1" x14ac:dyDescent="0.2">
      <c r="A107" s="143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</row>
    <row r="108" spans="1:29" s="162" customFormat="1" x14ac:dyDescent="0.2">
      <c r="A108" s="143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</row>
    <row r="109" spans="1:29" s="162" customFormat="1" x14ac:dyDescent="0.2">
      <c r="A109" s="143"/>
      <c r="B109" s="34" t="str">
        <f>"Forecast Expenditure by Function Code (Gross)"</f>
        <v>Forecast Expenditure by Function Code (Gross)</v>
      </c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</row>
    <row r="110" spans="1:29" s="162" customFormat="1" x14ac:dyDescent="0.2">
      <c r="A110" s="143"/>
      <c r="B110" s="141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  <c r="AA110" s="143"/>
      <c r="AB110" s="143"/>
      <c r="AC110" s="143"/>
    </row>
    <row r="111" spans="1:29" s="162" customFormat="1" x14ac:dyDescent="0.2">
      <c r="A111" s="143"/>
      <c r="B111" s="143"/>
      <c r="C111" s="280" t="str">
        <f>"$ "&amp;Inflation!$D$4</f>
        <v>$ 2021</v>
      </c>
      <c r="D111" s="298"/>
      <c r="E111" s="298"/>
      <c r="F111" s="298"/>
      <c r="G111" s="298"/>
      <c r="H111" s="298"/>
      <c r="I111" s="298"/>
      <c r="J111" s="298"/>
      <c r="K111" s="298"/>
      <c r="L111" s="298"/>
      <c r="M111" s="282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</row>
    <row r="112" spans="1:29" s="162" customFormat="1" ht="25.5" x14ac:dyDescent="0.2">
      <c r="A112" s="143"/>
      <c r="B112" s="3" t="s">
        <v>35</v>
      </c>
      <c r="C112" s="3" t="s">
        <v>325</v>
      </c>
      <c r="D112" s="3" t="s">
        <v>326</v>
      </c>
      <c r="E112" s="3" t="s">
        <v>327</v>
      </c>
      <c r="F112" s="163" t="s">
        <v>328</v>
      </c>
      <c r="G112" s="163" t="s">
        <v>312</v>
      </c>
      <c r="H112" s="163" t="s">
        <v>313</v>
      </c>
      <c r="I112" s="163" t="s">
        <v>314</v>
      </c>
      <c r="J112" s="163" t="s">
        <v>315</v>
      </c>
      <c r="K112" s="163" t="s">
        <v>316</v>
      </c>
      <c r="L112" s="163" t="s">
        <v>317</v>
      </c>
      <c r="M112" s="163" t="s">
        <v>318</v>
      </c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</row>
    <row r="113" spans="1:29" s="162" customFormat="1" x14ac:dyDescent="0.2">
      <c r="A113" s="143"/>
      <c r="B113" s="68">
        <f>B8</f>
        <v>102</v>
      </c>
      <c r="C113" s="97">
        <f>C92+'Forecast Contributions'!C8</f>
        <v>1237191.0284702622</v>
      </c>
      <c r="D113" s="97">
        <f>D92+'Forecast Contributions'!D8</f>
        <v>1783126.8920093023</v>
      </c>
      <c r="E113" s="97">
        <f>E92+'Forecast Contributions'!E8</f>
        <v>2792160.5767587479</v>
      </c>
      <c r="F113" s="97">
        <f>F92+'Forecast Contributions'!F8</f>
        <v>3623657.2103170725</v>
      </c>
      <c r="G113" s="97">
        <f ca="1">G92+'Forecast Contributions'!G8</f>
        <v>2359797.5005836515</v>
      </c>
      <c r="H113" s="190">
        <f ca="1">H92+'Forecast Contributions'!H8</f>
        <v>2272399.8607443203</v>
      </c>
      <c r="I113" s="97">
        <f ca="1">I92+'Forecast Contributions'!I8</f>
        <v>1345510.790530599</v>
      </c>
      <c r="J113" s="97">
        <f ca="1">J92+'Forecast Contributions'!J8</f>
        <v>2387333.7432727562</v>
      </c>
      <c r="K113" s="97">
        <f ca="1">K92+'Forecast Contributions'!K8</f>
        <v>2427440.8793634083</v>
      </c>
      <c r="L113" s="97">
        <f ca="1">L92+'Forecast Contributions'!L8</f>
        <v>2440610.3867364582</v>
      </c>
      <c r="M113" s="97">
        <f ca="1">M92+'Forecast Contributions'!M8</f>
        <v>2455276.4290382639</v>
      </c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</row>
    <row r="114" spans="1:29" s="162" customFormat="1" x14ac:dyDescent="0.2">
      <c r="A114" s="143"/>
      <c r="B114" s="68">
        <f t="shared" ref="B114:B125" si="24">B9</f>
        <v>104</v>
      </c>
      <c r="C114" s="97">
        <f>C93+'Forecast Contributions'!C9</f>
        <v>21782.29898016997</v>
      </c>
      <c r="D114" s="97">
        <f>D93+'Forecast Contributions'!D9</f>
        <v>74557.168195348844</v>
      </c>
      <c r="E114" s="97">
        <f>E93+'Forecast Contributions'!E9</f>
        <v>84302.110267031821</v>
      </c>
      <c r="F114" s="97">
        <f>F93+'Forecast Contributions'!F9</f>
        <v>15101.097976513101</v>
      </c>
      <c r="G114" s="97">
        <f ca="1">G93+'Forecast Contributions'!G9</f>
        <v>44923.823709242883</v>
      </c>
      <c r="H114" s="190">
        <f ca="1">H93+'Forecast Contributions'!H9</f>
        <v>44923.823709242883</v>
      </c>
      <c r="I114" s="97">
        <f ca="1">I93+'Forecast Contributions'!I9</f>
        <v>26027.343556325864</v>
      </c>
      <c r="J114" s="97">
        <f ca="1">J93+'Forecast Contributions'!J9</f>
        <v>44923.823709242883</v>
      </c>
      <c r="K114" s="97">
        <f ca="1">K93+'Forecast Contributions'!K9</f>
        <v>44923.823709242883</v>
      </c>
      <c r="L114" s="97">
        <f ca="1">L93+'Forecast Contributions'!L9</f>
        <v>44923.823709242883</v>
      </c>
      <c r="M114" s="97">
        <f ca="1">M93+'Forecast Contributions'!M9</f>
        <v>44923.823709242883</v>
      </c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</row>
    <row r="115" spans="1:29" s="162" customFormat="1" x14ac:dyDescent="0.2">
      <c r="A115" s="143"/>
      <c r="B115" s="68">
        <f t="shared" si="24"/>
        <v>105</v>
      </c>
      <c r="C115" s="97">
        <f>C94+'Forecast Contributions'!C10</f>
        <v>6608558.8734560898</v>
      </c>
      <c r="D115" s="97">
        <f>D94+'Forecast Contributions'!D10</f>
        <v>6844160.2568093017</v>
      </c>
      <c r="E115" s="97">
        <f>E94+'Forecast Contributions'!E10</f>
        <v>7234170.7288950281</v>
      </c>
      <c r="F115" s="97">
        <f>F94+'Forecast Contributions'!F10</f>
        <v>8254800.2612596015</v>
      </c>
      <c r="G115" s="97">
        <f ca="1">G94+'Forecast Contributions'!G10</f>
        <v>7242968.2014274532</v>
      </c>
      <c r="H115" s="190">
        <f ca="1">H94+'Forecast Contributions'!H10</f>
        <v>7052881.0033855392</v>
      </c>
      <c r="I115" s="97">
        <f ca="1">I94+'Forecast Contributions'!I10</f>
        <v>6740594.8923166795</v>
      </c>
      <c r="J115" s="97">
        <f ca="1">J94+'Forecast Contributions'!J10</f>
        <v>5366536.0036136992</v>
      </c>
      <c r="K115" s="97">
        <f ca="1">K94+'Forecast Contributions'!K10</f>
        <v>5396406.8490202855</v>
      </c>
      <c r="L115" s="97">
        <f ca="1">L94+'Forecast Contributions'!L10</f>
        <v>5993823.7571520181</v>
      </c>
      <c r="M115" s="97">
        <f ca="1">M94+'Forecast Contributions'!M10</f>
        <v>6121453.73298016</v>
      </c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</row>
    <row r="116" spans="1:29" s="162" customFormat="1" x14ac:dyDescent="0.2">
      <c r="A116" s="143"/>
      <c r="B116" s="68">
        <f t="shared" si="24"/>
        <v>106</v>
      </c>
      <c r="C116" s="97">
        <f>C95+'Forecast Contributions'!C11</f>
        <v>10428026.078328613</v>
      </c>
      <c r="D116" s="97">
        <f>D95+'Forecast Contributions'!D11</f>
        <v>8957379.9532000013</v>
      </c>
      <c r="E116" s="97">
        <f>E95+'Forecast Contributions'!E11</f>
        <v>9483413.3144475129</v>
      </c>
      <c r="F116" s="97">
        <f>F95+'Forecast Contributions'!F11</f>
        <v>9847254.0933151022</v>
      </c>
      <c r="G116" s="97">
        <f ca="1">G95+'Forecast Contributions'!G11</f>
        <v>9674289.3463512864</v>
      </c>
      <c r="H116" s="190">
        <f ca="1">H95+'Forecast Contributions'!H11</f>
        <v>9803762.4822108392</v>
      </c>
      <c r="I116" s="97">
        <f ca="1">I95+'Forecast Contributions'!I11</f>
        <v>9958337.5525737777</v>
      </c>
      <c r="J116" s="97">
        <f ca="1">J95+'Forecast Contributions'!J11</f>
        <v>9371744.9778631423</v>
      </c>
      <c r="K116" s="97">
        <f ca="1">K95+'Forecast Contributions'!K11</f>
        <v>9194710.2818919159</v>
      </c>
      <c r="L116" s="97">
        <f ca="1">L95+'Forecast Contributions'!L11</f>
        <v>9494612.3414849658</v>
      </c>
      <c r="M116" s="97">
        <f ca="1">M95+'Forecast Contributions'!M11</f>
        <v>9649187.4118479025</v>
      </c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</row>
    <row r="117" spans="1:29" s="162" customFormat="1" x14ac:dyDescent="0.2">
      <c r="A117" s="143"/>
      <c r="B117" s="68">
        <f t="shared" si="24"/>
        <v>107</v>
      </c>
      <c r="C117" s="97">
        <f>C96+'Forecast Contributions'!C12</f>
        <v>3130443.0489423983</v>
      </c>
      <c r="D117" s="97">
        <f>D96+'Forecast Contributions'!D12</f>
        <v>3500728.9769395352</v>
      </c>
      <c r="E117" s="97">
        <f>E96+'Forecast Contributions'!E12</f>
        <v>2031751.7517403318</v>
      </c>
      <c r="F117" s="97">
        <f>F96+'Forecast Contributions'!F12</f>
        <v>2922475.2002105257</v>
      </c>
      <c r="G117" s="97">
        <f ca="1">G96+'Forecast Contributions'!G12</f>
        <v>3632899.0485023484</v>
      </c>
      <c r="H117" s="190">
        <f ca="1">H96+'Forecast Contributions'!H12</f>
        <v>6596179.9568935139</v>
      </c>
      <c r="I117" s="97">
        <f ca="1">I96+'Forecast Contributions'!I12</f>
        <v>3972822.604426322</v>
      </c>
      <c r="J117" s="97">
        <f ca="1">J96+'Forecast Contributions'!J12</f>
        <v>5115822.811132703</v>
      </c>
      <c r="K117" s="97">
        <f ca="1">K96+'Forecast Contributions'!K12</f>
        <v>7337417.6792857982</v>
      </c>
      <c r="L117" s="97">
        <f ca="1">L96+'Forecast Contributions'!L12</f>
        <v>2894227.9429796073</v>
      </c>
      <c r="M117" s="97">
        <f ca="1">M96+'Forecast Contributions'!M12</f>
        <v>2894227.9429796073</v>
      </c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</row>
    <row r="118" spans="1:29" s="162" customFormat="1" x14ac:dyDescent="0.2">
      <c r="A118" s="143"/>
      <c r="B118" s="68">
        <f t="shared" si="24"/>
        <v>108</v>
      </c>
      <c r="C118" s="97">
        <f>C97+'Forecast Contributions'!C13</f>
        <v>0</v>
      </c>
      <c r="D118" s="97">
        <f>D97+'Forecast Contributions'!D13</f>
        <v>0</v>
      </c>
      <c r="E118" s="97">
        <f>E97+'Forecast Contributions'!E13</f>
        <v>0</v>
      </c>
      <c r="F118" s="97">
        <f>F97+'Forecast Contributions'!F13</f>
        <v>0</v>
      </c>
      <c r="G118" s="97">
        <f ca="1">G97+'Forecast Contributions'!G13</f>
        <v>0</v>
      </c>
      <c r="H118" s="190">
        <f ca="1">H97+'Forecast Contributions'!H13</f>
        <v>0</v>
      </c>
      <c r="I118" s="97">
        <f ca="1">I97+'Forecast Contributions'!I13</f>
        <v>0</v>
      </c>
      <c r="J118" s="97">
        <f ca="1">J97+'Forecast Contributions'!J13</f>
        <v>0</v>
      </c>
      <c r="K118" s="97">
        <f ca="1">K97+'Forecast Contributions'!K13</f>
        <v>0</v>
      </c>
      <c r="L118" s="97">
        <f ca="1">L97+'Forecast Contributions'!L13</f>
        <v>0</v>
      </c>
      <c r="M118" s="97">
        <f ca="1">M97+'Forecast Contributions'!M13</f>
        <v>0</v>
      </c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  <c r="AA118" s="143"/>
      <c r="AB118" s="143"/>
      <c r="AC118" s="143"/>
    </row>
    <row r="119" spans="1:29" s="162" customFormat="1" x14ac:dyDescent="0.2">
      <c r="A119" s="143"/>
      <c r="B119" s="68">
        <f t="shared" si="24"/>
        <v>109</v>
      </c>
      <c r="C119" s="97">
        <f>C98+'Forecast Contributions'!C14</f>
        <v>2283921.7476770538</v>
      </c>
      <c r="D119" s="97">
        <f>D98+'Forecast Contributions'!D14</f>
        <v>5108223.6116279075</v>
      </c>
      <c r="E119" s="97">
        <f>E98+'Forecast Contributions'!E14</f>
        <v>5856700.6890515657</v>
      </c>
      <c r="F119" s="97">
        <f>F98+'Forecast Contributions'!F14</f>
        <v>7038306.3808360854</v>
      </c>
      <c r="G119" s="97">
        <f ca="1">G98+'Forecast Contributions'!G14</f>
        <v>6001076.8938385202</v>
      </c>
      <c r="H119" s="190">
        <f ca="1">H98+'Forecast Contributions'!H14</f>
        <v>5778532.5132186515</v>
      </c>
      <c r="I119" s="97">
        <f ca="1">I98+'Forecast Contributions'!I14</f>
        <v>3421626.2763047204</v>
      </c>
      <c r="J119" s="97">
        <f ca="1">J98+'Forecast Contributions'!J14</f>
        <v>6071193.6164995749</v>
      </c>
      <c r="K119" s="97">
        <f ca="1">K98+'Forecast Contributions'!K14</f>
        <v>6173320.1473319801</v>
      </c>
      <c r="L119" s="97">
        <f ca="1">L98+'Forecast Contributions'!L14</f>
        <v>6206854.2320829201</v>
      </c>
      <c r="M119" s="97">
        <f ca="1">M98+'Forecast Contributions'!M14</f>
        <v>6244199.0082828291</v>
      </c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3"/>
      <c r="AC119" s="143"/>
    </row>
    <row r="120" spans="1:29" s="162" customFormat="1" x14ac:dyDescent="0.2">
      <c r="A120" s="143"/>
      <c r="B120" s="68">
        <f t="shared" si="24"/>
        <v>110</v>
      </c>
      <c r="C120" s="97">
        <f>C99+'Forecast Contributions'!C15</f>
        <v>0</v>
      </c>
      <c r="D120" s="97">
        <f>D99+'Forecast Contributions'!D15</f>
        <v>0</v>
      </c>
      <c r="E120" s="97">
        <f>E99+'Forecast Contributions'!E15</f>
        <v>0</v>
      </c>
      <c r="F120" s="97">
        <f>F99+'Forecast Contributions'!F15</f>
        <v>0</v>
      </c>
      <c r="G120" s="97">
        <f ca="1">G99+'Forecast Contributions'!G15</f>
        <v>0</v>
      </c>
      <c r="H120" s="190">
        <f ca="1">H99+'Forecast Contributions'!H15</f>
        <v>0</v>
      </c>
      <c r="I120" s="97">
        <f ca="1">I99+'Forecast Contributions'!I15</f>
        <v>0</v>
      </c>
      <c r="J120" s="97">
        <f ca="1">J99+'Forecast Contributions'!J15</f>
        <v>0</v>
      </c>
      <c r="K120" s="97">
        <f ca="1">K99+'Forecast Contributions'!K15</f>
        <v>0</v>
      </c>
      <c r="L120" s="97">
        <f ca="1">L99+'Forecast Contributions'!L15</f>
        <v>0</v>
      </c>
      <c r="M120" s="97">
        <f ca="1">M99+'Forecast Contributions'!M15</f>
        <v>0</v>
      </c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  <c r="AC120" s="143"/>
    </row>
    <row r="121" spans="1:29" s="162" customFormat="1" x14ac:dyDescent="0.2">
      <c r="A121" s="143"/>
      <c r="B121" s="68">
        <f t="shared" si="24"/>
        <v>111</v>
      </c>
      <c r="C121" s="97">
        <f>C100+'Forecast Contributions'!C16</f>
        <v>23688620.219830025</v>
      </c>
      <c r="D121" s="97">
        <f>D100+'Forecast Contributions'!D16</f>
        <v>19961582.571488373</v>
      </c>
      <c r="E121" s="97">
        <f>E100+'Forecast Contributions'!E16</f>
        <v>23240326.975672193</v>
      </c>
      <c r="F121" s="97">
        <f>F100+'Forecast Contributions'!F16</f>
        <v>27903074.499514475</v>
      </c>
      <c r="G121" s="97">
        <f ca="1">G100+'Forecast Contributions'!G16</f>
        <v>23660196.65416557</v>
      </c>
      <c r="H121" s="190">
        <f ca="1">H100+'Forecast Contributions'!H16</f>
        <v>21833606.665675964</v>
      </c>
      <c r="I121" s="97">
        <f ca="1">I100+'Forecast Contributions'!I16</f>
        <v>20606366.51715951</v>
      </c>
      <c r="J121" s="97">
        <f ca="1">J100+'Forecast Contributions'!J16</f>
        <v>19852898.146907549</v>
      </c>
      <c r="K121" s="97">
        <f ca="1">K100+'Forecast Contributions'!K16</f>
        <v>21599574.823400736</v>
      </c>
      <c r="L121" s="97">
        <f ca="1">L100+'Forecast Contributions'!L16</f>
        <v>22659377.556305647</v>
      </c>
      <c r="M121" s="97">
        <f ca="1">M100+'Forecast Contributions'!M16</f>
        <v>22872479.72162943</v>
      </c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</row>
    <row r="122" spans="1:29" s="162" customFormat="1" x14ac:dyDescent="0.2">
      <c r="A122" s="143"/>
      <c r="B122" s="68">
        <f t="shared" si="24"/>
        <v>114</v>
      </c>
      <c r="C122" s="97">
        <f>C101+'Forecast Contributions'!C17</f>
        <v>0</v>
      </c>
      <c r="D122" s="97">
        <f>D101+'Forecast Contributions'!D17</f>
        <v>0</v>
      </c>
      <c r="E122" s="97">
        <f>E101+'Forecast Contributions'!E17</f>
        <v>0</v>
      </c>
      <c r="F122" s="97">
        <f>F101+'Forecast Contributions'!F17</f>
        <v>0</v>
      </c>
      <c r="G122" s="97">
        <f ca="1">G101+'Forecast Contributions'!G17</f>
        <v>0</v>
      </c>
      <c r="H122" s="190">
        <f ca="1">H101+'Forecast Contributions'!H17</f>
        <v>0</v>
      </c>
      <c r="I122" s="97">
        <f ca="1">I101+'Forecast Contributions'!I17</f>
        <v>0</v>
      </c>
      <c r="J122" s="97">
        <f ca="1">J101+'Forecast Contributions'!J17</f>
        <v>0</v>
      </c>
      <c r="K122" s="97">
        <f ca="1">K101+'Forecast Contributions'!K17</f>
        <v>0</v>
      </c>
      <c r="L122" s="97">
        <f ca="1">L101+'Forecast Contributions'!L17</f>
        <v>0</v>
      </c>
      <c r="M122" s="97">
        <f ca="1">M101+'Forecast Contributions'!M17</f>
        <v>0</v>
      </c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</row>
    <row r="123" spans="1:29" s="162" customFormat="1" x14ac:dyDescent="0.2">
      <c r="A123" s="143"/>
      <c r="B123" s="68">
        <f t="shared" si="24"/>
        <v>115</v>
      </c>
      <c r="C123" s="97">
        <f>C102+'Forecast Contributions'!C18</f>
        <v>0</v>
      </c>
      <c r="D123" s="97">
        <f>D102+'Forecast Contributions'!D18</f>
        <v>0</v>
      </c>
      <c r="E123" s="97">
        <f>E102+'Forecast Contributions'!E18</f>
        <v>0</v>
      </c>
      <c r="F123" s="97">
        <f>F102+'Forecast Contributions'!F18</f>
        <v>0</v>
      </c>
      <c r="G123" s="97">
        <f ca="1">G102+'Forecast Contributions'!G18</f>
        <v>0</v>
      </c>
      <c r="H123" s="190">
        <f ca="1">H102+'Forecast Contributions'!H18</f>
        <v>0</v>
      </c>
      <c r="I123" s="97">
        <f ca="1">I102+'Forecast Contributions'!I18</f>
        <v>0</v>
      </c>
      <c r="J123" s="97">
        <f ca="1">J102+'Forecast Contributions'!J18</f>
        <v>0</v>
      </c>
      <c r="K123" s="97">
        <f ca="1">K102+'Forecast Contributions'!K18</f>
        <v>0</v>
      </c>
      <c r="L123" s="97">
        <f ca="1">L102+'Forecast Contributions'!L18</f>
        <v>0</v>
      </c>
      <c r="M123" s="97">
        <f ca="1">M102+'Forecast Contributions'!M18</f>
        <v>0</v>
      </c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  <c r="AA123" s="143"/>
      <c r="AB123" s="143"/>
      <c r="AC123" s="143"/>
    </row>
    <row r="124" spans="1:29" s="162" customFormat="1" x14ac:dyDescent="0.2">
      <c r="A124" s="143"/>
      <c r="B124" s="68">
        <f t="shared" si="24"/>
        <v>116</v>
      </c>
      <c r="C124" s="97">
        <f>C103+'Forecast Contributions'!C19</f>
        <v>20962785.78485363</v>
      </c>
      <c r="D124" s="97">
        <f>D103+'Forecast Contributions'!D19</f>
        <v>26558247.151181392</v>
      </c>
      <c r="E124" s="97">
        <f>E103+'Forecast Contributions'!E19</f>
        <v>26169594.773232047</v>
      </c>
      <c r="F124" s="97">
        <f>F103+'Forecast Contributions'!F19</f>
        <v>25827231.921221364</v>
      </c>
      <c r="G124" s="97">
        <f ca="1">G103+'Forecast Contributions'!G19</f>
        <v>39691380.098379865</v>
      </c>
      <c r="H124" s="190">
        <f ca="1">H103+'Forecast Contributions'!H19</f>
        <v>34462202.2836909</v>
      </c>
      <c r="I124" s="97">
        <f ca="1">I103+'Forecast Contributions'!I19</f>
        <v>33433183.07810206</v>
      </c>
      <c r="J124" s="97">
        <f ca="1">J103+'Forecast Contributions'!J19</f>
        <v>36552161.31479983</v>
      </c>
      <c r="K124" s="97">
        <f ca="1">K103+'Forecast Contributions'!K19</f>
        <v>26437113.760385863</v>
      </c>
      <c r="L124" s="97">
        <f ca="1">L103+'Forecast Contributions'!L19</f>
        <v>26612894.696056861</v>
      </c>
      <c r="M124" s="97">
        <f ca="1">M103+'Forecast Contributions'!M19</f>
        <v>26689321.189826857</v>
      </c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  <c r="AA124" s="143"/>
      <c r="AB124" s="143"/>
      <c r="AC124" s="143"/>
    </row>
    <row r="125" spans="1:29" s="162" customFormat="1" x14ac:dyDescent="0.2">
      <c r="A125" s="143"/>
      <c r="B125" s="68">
        <f t="shared" si="24"/>
        <v>118</v>
      </c>
      <c r="C125" s="97">
        <f>C104+'Forecast Contributions'!C20</f>
        <v>47574.650084985835</v>
      </c>
      <c r="D125" s="97">
        <f>D104+'Forecast Contributions'!D20</f>
        <v>33639.164967441859</v>
      </c>
      <c r="E125" s="97">
        <f>E104+'Forecast Contributions'!E20</f>
        <v>26611.929263351751</v>
      </c>
      <c r="F125" s="97">
        <f>F104+'Forecast Contributions'!F20</f>
        <v>7645.5990969869927</v>
      </c>
      <c r="G125" s="97">
        <f ca="1">G104+'Forecast Contributions'!G20</f>
        <v>28870.382753719612</v>
      </c>
      <c r="H125" s="190">
        <f ca="1">H104+'Forecast Contributions'!H20</f>
        <v>28870.382753719612</v>
      </c>
      <c r="I125" s="97">
        <f ca="1">I104+'Forecast Contributions'!I20</f>
        <v>16726.523000291359</v>
      </c>
      <c r="J125" s="97">
        <f ca="1">J104+'Forecast Contributions'!J20</f>
        <v>28870.382753719612</v>
      </c>
      <c r="K125" s="97">
        <f ca="1">K104+'Forecast Contributions'!K20</f>
        <v>28870.382753719612</v>
      </c>
      <c r="L125" s="97">
        <f ca="1">L104+'Forecast Contributions'!L20</f>
        <v>28870.382753719612</v>
      </c>
      <c r="M125" s="97">
        <f ca="1">M104+'Forecast Contributions'!M20</f>
        <v>28870.382753719612</v>
      </c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  <c r="AA125" s="143"/>
      <c r="AB125" s="143"/>
      <c r="AC125" s="143"/>
    </row>
    <row r="126" spans="1:29" s="162" customFormat="1" x14ac:dyDescent="0.2">
      <c r="A126" s="143"/>
      <c r="B126" s="74" t="s">
        <v>36</v>
      </c>
      <c r="C126" s="133">
        <f t="shared" ref="C126:M126" si="25">SUM(C113:C125)</f>
        <v>68408903.73062323</v>
      </c>
      <c r="D126" s="133">
        <f t="shared" si="25"/>
        <v>72821645.74641861</v>
      </c>
      <c r="E126" s="133">
        <f t="shared" si="25"/>
        <v>76919032.849327818</v>
      </c>
      <c r="F126" s="133">
        <f t="shared" si="25"/>
        <v>85439546.263747722</v>
      </c>
      <c r="G126" s="133">
        <f t="shared" ca="1" si="25"/>
        <v>92336401.949711651</v>
      </c>
      <c r="H126" s="133">
        <f t="shared" ca="1" si="25"/>
        <v>87873358.972282693</v>
      </c>
      <c r="I126" s="133">
        <f t="shared" ca="1" si="25"/>
        <v>79521195.577970281</v>
      </c>
      <c r="J126" s="133">
        <f t="shared" ca="1" si="25"/>
        <v>84791484.820552215</v>
      </c>
      <c r="K126" s="133">
        <f t="shared" ca="1" si="25"/>
        <v>78639778.627142951</v>
      </c>
      <c r="L126" s="133">
        <f t="shared" ca="1" si="25"/>
        <v>76376195.119261444</v>
      </c>
      <c r="M126" s="133">
        <f t="shared" ca="1" si="25"/>
        <v>76999939.643048018</v>
      </c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  <c r="AA126" s="143"/>
      <c r="AB126" s="143"/>
      <c r="AC126" s="143"/>
    </row>
    <row r="127" spans="1:29" s="162" customFormat="1" x14ac:dyDescent="0.2">
      <c r="A127" s="143"/>
      <c r="B127" s="143" t="s">
        <v>231</v>
      </c>
      <c r="C127" s="198">
        <f>C105+'Forecast Contributions'!C21-C126</f>
        <v>0</v>
      </c>
      <c r="D127" s="198">
        <f>D105+'Forecast Contributions'!D21-D126</f>
        <v>0</v>
      </c>
      <c r="E127" s="198">
        <f>E105+'Forecast Contributions'!E21-E126</f>
        <v>0</v>
      </c>
      <c r="F127" s="198">
        <f>F105+'Forecast Contributions'!F21-F126</f>
        <v>0</v>
      </c>
      <c r="G127" s="198">
        <f ca="1">G105+'Forecast Contributions'!G21-G126</f>
        <v>0</v>
      </c>
      <c r="H127" s="198">
        <f ca="1">H105+'Forecast Contributions'!H21-H126</f>
        <v>0</v>
      </c>
      <c r="I127" s="198">
        <f ca="1">I105+'Forecast Contributions'!I21-I126</f>
        <v>0</v>
      </c>
      <c r="J127" s="198">
        <f ca="1">J105+'Forecast Contributions'!J21-J126</f>
        <v>0</v>
      </c>
      <c r="K127" s="198">
        <f ca="1">K105+'Forecast Contributions'!K21-K126</f>
        <v>0</v>
      </c>
      <c r="L127" s="198">
        <f ca="1">L105+'Forecast Contributions'!L21-L126</f>
        <v>0</v>
      </c>
      <c r="M127" s="198">
        <f ca="1">M105+'Forecast Contributions'!M21-M126</f>
        <v>0</v>
      </c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  <c r="AA127" s="143"/>
      <c r="AB127" s="143"/>
      <c r="AC127" s="143"/>
    </row>
    <row r="128" spans="1:29" s="162" customFormat="1" x14ac:dyDescent="0.2">
      <c r="A128" s="143"/>
      <c r="B128" s="143"/>
      <c r="C128" s="143"/>
      <c r="D128" s="143"/>
      <c r="E128" s="143"/>
      <c r="F128" s="143"/>
      <c r="G128" s="143"/>
      <c r="H128" s="143"/>
      <c r="I128" s="142"/>
      <c r="J128" s="142"/>
      <c r="K128" s="142"/>
      <c r="L128" s="142"/>
      <c r="M128" s="142"/>
      <c r="N128" s="142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</row>
    <row r="129" spans="1:29" s="162" customFormat="1" x14ac:dyDescent="0.2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  <c r="AA129" s="143"/>
      <c r="AB129" s="143"/>
      <c r="AC129" s="143"/>
    </row>
    <row r="130" spans="1:29" s="162" customFormat="1" x14ac:dyDescent="0.2">
      <c r="A130" s="143"/>
      <c r="B130" s="34" t="str">
        <f>"Forecast Expenditure by Function Code (Net)"</f>
        <v>Forecast Expenditure by Function Code (Net)</v>
      </c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  <c r="AA130" s="143"/>
      <c r="AB130" s="143"/>
      <c r="AC130" s="143"/>
    </row>
    <row r="131" spans="1:29" s="162" customFormat="1" x14ac:dyDescent="0.2">
      <c r="A131" s="143"/>
      <c r="B131" s="141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  <c r="AA131" s="143"/>
      <c r="AB131" s="143"/>
      <c r="AC131" s="143"/>
    </row>
    <row r="132" spans="1:29" s="162" customFormat="1" x14ac:dyDescent="0.2">
      <c r="A132" s="143"/>
      <c r="B132" s="143"/>
      <c r="C132" s="280" t="str">
        <f>"$ "&amp;Inflation!$D$4</f>
        <v>$ 2021</v>
      </c>
      <c r="D132" s="298"/>
      <c r="E132" s="298"/>
      <c r="F132" s="298"/>
      <c r="G132" s="298"/>
      <c r="H132" s="298"/>
      <c r="I132" s="298"/>
      <c r="J132" s="298"/>
      <c r="K132" s="298"/>
      <c r="L132" s="298"/>
      <c r="M132" s="282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  <c r="AA132" s="143"/>
      <c r="AB132" s="143"/>
      <c r="AC132" s="143"/>
    </row>
    <row r="133" spans="1:29" s="162" customFormat="1" ht="25.5" x14ac:dyDescent="0.2">
      <c r="A133" s="143"/>
      <c r="B133" s="3" t="s">
        <v>35</v>
      </c>
      <c r="C133" s="3" t="s">
        <v>325</v>
      </c>
      <c r="D133" s="3" t="s">
        <v>326</v>
      </c>
      <c r="E133" s="3" t="s">
        <v>327</v>
      </c>
      <c r="F133" s="163" t="s">
        <v>328</v>
      </c>
      <c r="G133" s="163" t="s">
        <v>312</v>
      </c>
      <c r="H133" s="163" t="s">
        <v>313</v>
      </c>
      <c r="I133" s="163" t="s">
        <v>314</v>
      </c>
      <c r="J133" s="163" t="s">
        <v>315</v>
      </c>
      <c r="K133" s="163" t="s">
        <v>316</v>
      </c>
      <c r="L133" s="163" t="s">
        <v>317</v>
      </c>
      <c r="M133" s="163" t="s">
        <v>318</v>
      </c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43"/>
      <c r="AA133" s="143"/>
      <c r="AB133" s="143"/>
      <c r="AC133" s="143"/>
    </row>
    <row r="134" spans="1:29" s="162" customFormat="1" x14ac:dyDescent="0.2">
      <c r="A134" s="143"/>
      <c r="B134" s="68">
        <f t="shared" ref="B134:B146" si="26">B8</f>
        <v>102</v>
      </c>
      <c r="C134" s="97">
        <f>C113-'Forecast Contributions'!C74-'Forecast Contributions'!C8+'Forecast Contributions'!C29</f>
        <v>700023.82542237372</v>
      </c>
      <c r="D134" s="97">
        <f>D113-'Forecast Contributions'!D74-'Forecast Contributions'!D8+'Forecast Contributions'!D29</f>
        <v>774151.21969564119</v>
      </c>
      <c r="E134" s="97">
        <f>E113-'Forecast Contributions'!E74-'Forecast Contributions'!E8+'Forecast Contributions'!E29</f>
        <v>1054564.4444583175</v>
      </c>
      <c r="F134" s="97">
        <f>F113-'Forecast Contributions'!F74-'Forecast Contributions'!F8+'Forecast Contributions'!F29</f>
        <v>1521294.2388093551</v>
      </c>
      <c r="G134" s="97">
        <f ca="1">G113-'Forecast Contributions'!G74-'Forecast Contributions'!G8+'Forecast Contributions'!G29</f>
        <v>968940.30828178884</v>
      </c>
      <c r="H134" s="97">
        <f ca="1">H113-'Forecast Contributions'!H74-'Forecast Contributions'!H8+'Forecast Contributions'!H29</f>
        <v>933008.05402495852</v>
      </c>
      <c r="I134" s="97">
        <f ca="1">I113-'Forecast Contributions'!I74-'Forecast Contributions'!I8+'Forecast Contributions'!I29</f>
        <v>633273.78908319259</v>
      </c>
      <c r="J134" s="97">
        <f ca="1">J113-'Forecast Contributions'!J74-'Forecast Contributions'!J8+'Forecast Contributions'!J29</f>
        <v>1123655.0912657229</v>
      </c>
      <c r="K134" s="97">
        <f ca="1">K113-'Forecast Contributions'!K74-'Forecast Contributions'!K8+'Forecast Contributions'!K29</f>
        <v>1142556.6456505596</v>
      </c>
      <c r="L134" s="97">
        <f ca="1">L113-'Forecast Contributions'!L74-'Forecast Contributions'!L8+'Forecast Contributions'!L29</f>
        <v>1148763.126194834</v>
      </c>
      <c r="M134" s="97">
        <f ca="1">M113-'Forecast Contributions'!M74-'Forecast Contributions'!M8+'Forecast Contributions'!M29</f>
        <v>1155674.88861914</v>
      </c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  <c r="AA134" s="143"/>
      <c r="AB134" s="143"/>
      <c r="AC134" s="143"/>
    </row>
    <row r="135" spans="1:29" s="162" customFormat="1" x14ac:dyDescent="0.2">
      <c r="A135" s="143"/>
      <c r="B135" s="68">
        <f t="shared" si="26"/>
        <v>104</v>
      </c>
      <c r="C135" s="97">
        <f>C114-'Forecast Contributions'!C75-'Forecast Contributions'!C9+'Forecast Contributions'!C30</f>
        <v>-31388.525190510201</v>
      </c>
      <c r="D135" s="97">
        <f>D114-'Forecast Contributions'!D75-'Forecast Contributions'!D9+'Forecast Contributions'!D30</f>
        <v>43493.667919302345</v>
      </c>
      <c r="E135" s="97">
        <f>E114-'Forecast Contributions'!E75-'Forecast Contributions'!E9+'Forecast Contributions'!E30</f>
        <v>75835.880985263866</v>
      </c>
      <c r="F135" s="97">
        <f>F114-'Forecast Contributions'!F75-'Forecast Contributions'!F9+'Forecast Contributions'!F30</f>
        <v>6795.4746702800385</v>
      </c>
      <c r="G135" s="97">
        <f ca="1">G114-'Forecast Contributions'!G75-'Forecast Contributions'!G9+'Forecast Contributions'!G30</f>
        <v>33870.610203328892</v>
      </c>
      <c r="H135" s="97">
        <f ca="1">H114-'Forecast Contributions'!H75-'Forecast Contributions'!H9+'Forecast Contributions'!H30</f>
        <v>33870.610203328892</v>
      </c>
      <c r="I135" s="97">
        <f ca="1">I114-'Forecast Contributions'!I75-'Forecast Contributions'!I9+'Forecast Contributions'!I30</f>
        <v>19946.713992002049</v>
      </c>
      <c r="J135" s="97">
        <f ca="1">J114-'Forecast Contributions'!J75-'Forecast Contributions'!J9+'Forecast Contributions'!J30</f>
        <v>34428.510194141512</v>
      </c>
      <c r="K135" s="97">
        <f ca="1">K114-'Forecast Contributions'!K75-'Forecast Contributions'!K9+'Forecast Contributions'!K30</f>
        <v>34428.510194141512</v>
      </c>
      <c r="L135" s="97">
        <f ca="1">L114-'Forecast Contributions'!L75-'Forecast Contributions'!L9+'Forecast Contributions'!L30</f>
        <v>34428.510194141512</v>
      </c>
      <c r="M135" s="97">
        <f ca="1">M114-'Forecast Contributions'!M75-'Forecast Contributions'!M9+'Forecast Contributions'!M30</f>
        <v>34428.510194141512</v>
      </c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  <c r="AA135" s="143"/>
      <c r="AB135" s="143"/>
      <c r="AC135" s="143"/>
    </row>
    <row r="136" spans="1:29" s="162" customFormat="1" x14ac:dyDescent="0.2">
      <c r="A136" s="143"/>
      <c r="B136" s="68">
        <f t="shared" si="26"/>
        <v>105</v>
      </c>
      <c r="C136" s="97">
        <f>C115-'Forecast Contributions'!C76-'Forecast Contributions'!C10+'Forecast Contributions'!C31</f>
        <v>4407292.1927423785</v>
      </c>
      <c r="D136" s="97">
        <f>D115-'Forecast Contributions'!D76-'Forecast Contributions'!D10+'Forecast Contributions'!D31</f>
        <v>3371229.7814056841</v>
      </c>
      <c r="E136" s="97">
        <f>E115-'Forecast Contributions'!E76-'Forecast Contributions'!E10+'Forecast Contributions'!E31</f>
        <v>3242366.1815306093</v>
      </c>
      <c r="F136" s="97">
        <f>F115-'Forecast Contributions'!F76-'Forecast Contributions'!F10+'Forecast Contributions'!F31</f>
        <v>3800500.4610524666</v>
      </c>
      <c r="G136" s="97">
        <f ca="1">G115-'Forecast Contributions'!G76-'Forecast Contributions'!G10+'Forecast Contributions'!G31</f>
        <v>3382374.021339613</v>
      </c>
      <c r="H136" s="97">
        <f ca="1">H115-'Forecast Contributions'!H76-'Forecast Contributions'!H10+'Forecast Contributions'!H31</f>
        <v>3293230.1277049095</v>
      </c>
      <c r="I136" s="97">
        <f ca="1">I115-'Forecast Contributions'!I76-'Forecast Contributions'!I10+'Forecast Contributions'!I31</f>
        <v>3510702.439088875</v>
      </c>
      <c r="J136" s="97">
        <f ca="1">J115-'Forecast Contributions'!J76-'Forecast Contributions'!J10+'Forecast Contributions'!J31</f>
        <v>2791796.9618816837</v>
      </c>
      <c r="K136" s="97">
        <f ca="1">K115-'Forecast Contributions'!K76-'Forecast Contributions'!K10+'Forecast Contributions'!K31</f>
        <v>2807425.3418209702</v>
      </c>
      <c r="L136" s="97">
        <f ca="1">L115-'Forecast Contributions'!L76-'Forecast Contributions'!L10+'Forecast Contributions'!L31</f>
        <v>3119992.9406067068</v>
      </c>
      <c r="M136" s="97">
        <f ca="1">M115-'Forecast Contributions'!M76-'Forecast Contributions'!M10+'Forecast Contributions'!M31</f>
        <v>3186768.7458018409</v>
      </c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  <c r="AA136" s="143"/>
      <c r="AB136" s="143"/>
      <c r="AC136" s="143"/>
    </row>
    <row r="137" spans="1:29" s="162" customFormat="1" x14ac:dyDescent="0.2">
      <c r="A137" s="143"/>
      <c r="B137" s="68">
        <f t="shared" si="26"/>
        <v>106</v>
      </c>
      <c r="C137" s="97">
        <f>C116-'Forecast Contributions'!C77-'Forecast Contributions'!C11+'Forecast Contributions'!C32</f>
        <v>5810429.820929789</v>
      </c>
      <c r="D137" s="97">
        <f>D116-'Forecast Contributions'!D77-'Forecast Contributions'!D11+'Forecast Contributions'!D32</f>
        <v>4335812.1825653454</v>
      </c>
      <c r="E137" s="97">
        <f>E116-'Forecast Contributions'!E77-'Forecast Contributions'!E11+'Forecast Contributions'!E32</f>
        <v>4314245.090256162</v>
      </c>
      <c r="F137" s="97">
        <f>F116-'Forecast Contributions'!F77-'Forecast Contributions'!F11+'Forecast Contributions'!F32</f>
        <v>4382390.4971454376</v>
      </c>
      <c r="G137" s="97">
        <f ca="1">G116-'Forecast Contributions'!G77-'Forecast Contributions'!G11+'Forecast Contributions'!G32</f>
        <v>4403971.0947285416</v>
      </c>
      <c r="H137" s="97">
        <f ca="1">H116-'Forecast Contributions'!H77-'Forecast Contributions'!H11+'Forecast Contributions'!H32</f>
        <v>4463747.9877040805</v>
      </c>
      <c r="I137" s="97">
        <f ca="1">I116-'Forecast Contributions'!I77-'Forecast Contributions'!I11+'Forecast Contributions'!I32</f>
        <v>5075148.8188423803</v>
      </c>
      <c r="J137" s="97">
        <f ca="1">J116-'Forecast Contributions'!J77-'Forecast Contributions'!J11+'Forecast Contributions'!J32</f>
        <v>4772073.3547447314</v>
      </c>
      <c r="K137" s="97">
        <f ca="1">K116-'Forecast Contributions'!K77-'Forecast Contributions'!K11+'Forecast Contributions'!K32</f>
        <v>4680604.6335981442</v>
      </c>
      <c r="L137" s="97">
        <f ca="1">L116-'Forecast Contributions'!L77-'Forecast Contributions'!L11+'Forecast Contributions'!L32</f>
        <v>4835555.3776300503</v>
      </c>
      <c r="M137" s="97">
        <f ca="1">M116-'Forecast Contributions'!M77-'Forecast Contributions'!M11+'Forecast Contributions'!M32</f>
        <v>4915419.85803416</v>
      </c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  <c r="AA137" s="143"/>
      <c r="AB137" s="143"/>
      <c r="AC137" s="143"/>
    </row>
    <row r="138" spans="1:29" s="162" customFormat="1" x14ac:dyDescent="0.2">
      <c r="A138" s="143"/>
      <c r="B138" s="68">
        <f t="shared" si="26"/>
        <v>107</v>
      </c>
      <c r="C138" s="97">
        <f>C117-'Forecast Contributions'!C78-'Forecast Contributions'!C12+'Forecast Contributions'!C33</f>
        <v>856335.68099640496</v>
      </c>
      <c r="D138" s="97">
        <f>D117-'Forecast Contributions'!D78-'Forecast Contributions'!D12+'Forecast Contributions'!D33</f>
        <v>1014753.3711816664</v>
      </c>
      <c r="E138" s="97">
        <f>E117-'Forecast Contributions'!E78-'Forecast Contributions'!E12+'Forecast Contributions'!E33</f>
        <v>1079126.4679005779</v>
      </c>
      <c r="F138" s="97">
        <f>F117-'Forecast Contributions'!F78-'Forecast Contributions'!F12+'Forecast Contributions'!F33</f>
        <v>1441721.0468063268</v>
      </c>
      <c r="G138" s="97">
        <f ca="1">G117-'Forecast Contributions'!G78-'Forecast Contributions'!G12+'Forecast Contributions'!G33</f>
        <v>1591599.8763693799</v>
      </c>
      <c r="H138" s="97">
        <f ca="1">H117-'Forecast Contributions'!H78-'Forecast Contributions'!H12+'Forecast Contributions'!H33</f>
        <v>2889835.1051703091</v>
      </c>
      <c r="I138" s="97">
        <f ca="1">I117-'Forecast Contributions'!I78-'Forecast Contributions'!I12+'Forecast Contributions'!I33</f>
        <v>1740522.8941467861</v>
      </c>
      <c r="J138" s="97">
        <f ca="1">J117-'Forecast Contributions'!J78-'Forecast Contributions'!J12+'Forecast Contributions'!J33</f>
        <v>2241279.7176632583</v>
      </c>
      <c r="K138" s="97">
        <f ca="1">K117-'Forecast Contributions'!K78-'Forecast Contributions'!K12+'Forecast Contributions'!K33</f>
        <v>3214576.8201393033</v>
      </c>
      <c r="L138" s="97">
        <f ca="1">L117-'Forecast Contributions'!L78-'Forecast Contributions'!L12+'Forecast Contributions'!L33</f>
        <v>1267982.6151872138</v>
      </c>
      <c r="M138" s="97">
        <f ca="1">M117-'Forecast Contributions'!M78-'Forecast Contributions'!M12+'Forecast Contributions'!M33</f>
        <v>1267982.6151872138</v>
      </c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  <c r="AA138" s="143"/>
      <c r="AB138" s="143"/>
      <c r="AC138" s="143"/>
    </row>
    <row r="139" spans="1:29" s="162" customFormat="1" x14ac:dyDescent="0.2">
      <c r="A139" s="143"/>
      <c r="B139" s="68">
        <f t="shared" si="26"/>
        <v>108</v>
      </c>
      <c r="C139" s="97">
        <f>C118-'Forecast Contributions'!C79-'Forecast Contributions'!C13+'Forecast Contributions'!C34</f>
        <v>0</v>
      </c>
      <c r="D139" s="97">
        <f>D118-'Forecast Contributions'!D79-'Forecast Contributions'!D13+'Forecast Contributions'!D34</f>
        <v>0</v>
      </c>
      <c r="E139" s="97">
        <f>E118-'Forecast Contributions'!E79-'Forecast Contributions'!E13+'Forecast Contributions'!E34</f>
        <v>0</v>
      </c>
      <c r="F139" s="97">
        <f>F118-'Forecast Contributions'!F79-'Forecast Contributions'!F13+'Forecast Contributions'!F34</f>
        <v>0</v>
      </c>
      <c r="G139" s="97">
        <f ca="1">G118-'Forecast Contributions'!G79-'Forecast Contributions'!G13+'Forecast Contributions'!G34</f>
        <v>0</v>
      </c>
      <c r="H139" s="97">
        <f ca="1">H118-'Forecast Contributions'!H79-'Forecast Contributions'!H13+'Forecast Contributions'!H34</f>
        <v>0</v>
      </c>
      <c r="I139" s="97">
        <f ca="1">I118-'Forecast Contributions'!I79-'Forecast Contributions'!I13+'Forecast Contributions'!I34</f>
        <v>0</v>
      </c>
      <c r="J139" s="97">
        <f ca="1">J118-'Forecast Contributions'!J79-'Forecast Contributions'!J13+'Forecast Contributions'!J34</f>
        <v>0</v>
      </c>
      <c r="K139" s="97">
        <f ca="1">K118-'Forecast Contributions'!K79-'Forecast Contributions'!K13+'Forecast Contributions'!K34</f>
        <v>0</v>
      </c>
      <c r="L139" s="97">
        <f ca="1">L118-'Forecast Contributions'!L79-'Forecast Contributions'!L13+'Forecast Contributions'!L34</f>
        <v>0</v>
      </c>
      <c r="M139" s="97">
        <f ca="1">M118-'Forecast Contributions'!M79-'Forecast Contributions'!M13+'Forecast Contributions'!M34</f>
        <v>0</v>
      </c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  <c r="AA139" s="143"/>
      <c r="AB139" s="143"/>
      <c r="AC139" s="143"/>
    </row>
    <row r="140" spans="1:29" s="162" customFormat="1" x14ac:dyDescent="0.2">
      <c r="A140" s="143"/>
      <c r="B140" s="68">
        <f t="shared" si="26"/>
        <v>109</v>
      </c>
      <c r="C140" s="97">
        <f>C119-'Forecast Contributions'!C80-'Forecast Contributions'!C14+'Forecast Contributions'!C35</f>
        <v>97235.610937785357</v>
      </c>
      <c r="D140" s="97">
        <f>D119-'Forecast Contributions'!D80-'Forecast Contributions'!D14+'Forecast Contributions'!D35</f>
        <v>396670.6401525978</v>
      </c>
      <c r="E140" s="97">
        <f>E119-'Forecast Contributions'!E80-'Forecast Contributions'!E14+'Forecast Contributions'!E35</f>
        <v>816793.42700833175</v>
      </c>
      <c r="F140" s="97">
        <f>F119-'Forecast Contributions'!F80-'Forecast Contributions'!F14+'Forecast Contributions'!F35</f>
        <v>1436995.2051570546</v>
      </c>
      <c r="G140" s="97">
        <f ca="1">G119-'Forecast Contributions'!G80-'Forecast Contributions'!G14+'Forecast Contributions'!G35</f>
        <v>842719.54926840868</v>
      </c>
      <c r="H140" s="97">
        <f ca="1">H119-'Forecast Contributions'!H80-'Forecast Contributions'!H14+'Forecast Contributions'!H35</f>
        <v>811468.07500039041</v>
      </c>
      <c r="I140" s="97">
        <f ca="1">I119-'Forecast Contributions'!I80-'Forecast Contributions'!I14+'Forecast Contributions'!I35</f>
        <v>780873.05645294767</v>
      </c>
      <c r="J140" s="97">
        <f ca="1">J119-'Forecast Contributions'!J80-'Forecast Contributions'!J14+'Forecast Contributions'!J35</f>
        <v>1385549.1900049467</v>
      </c>
      <c r="K140" s="97">
        <f ca="1">K119-'Forecast Contributions'!K80-'Forecast Contributions'!K14+'Forecast Contributions'!K35</f>
        <v>1408856.1937032472</v>
      </c>
      <c r="L140" s="97">
        <f ca="1">L119-'Forecast Contributions'!L80-'Forecast Contributions'!L14+'Forecast Contributions'!L35</f>
        <v>1416509.2396937339</v>
      </c>
      <c r="M140" s="97">
        <f ca="1">M119-'Forecast Contributions'!M80-'Forecast Contributions'!M14+'Forecast Contributions'!M35</f>
        <v>1425031.9500013217</v>
      </c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  <c r="AA140" s="143"/>
      <c r="AB140" s="143"/>
      <c r="AC140" s="143"/>
    </row>
    <row r="141" spans="1:29" s="162" customFormat="1" x14ac:dyDescent="0.2">
      <c r="A141" s="143"/>
      <c r="B141" s="68">
        <f t="shared" si="26"/>
        <v>110</v>
      </c>
      <c r="C141" s="97">
        <f>C120-'Forecast Contributions'!C81-'Forecast Contributions'!C15+'Forecast Contributions'!C36</f>
        <v>0</v>
      </c>
      <c r="D141" s="97">
        <f>D120-'Forecast Contributions'!D81-'Forecast Contributions'!D15+'Forecast Contributions'!D36</f>
        <v>0</v>
      </c>
      <c r="E141" s="97">
        <f>E120-'Forecast Contributions'!E81-'Forecast Contributions'!E15+'Forecast Contributions'!E36</f>
        <v>0</v>
      </c>
      <c r="F141" s="97">
        <f>F120-'Forecast Contributions'!F81-'Forecast Contributions'!F15+'Forecast Contributions'!F36</f>
        <v>0</v>
      </c>
      <c r="G141" s="97">
        <f ca="1">G120-'Forecast Contributions'!G81-'Forecast Contributions'!G15+'Forecast Contributions'!G36</f>
        <v>0</v>
      </c>
      <c r="H141" s="97">
        <f ca="1">H120-'Forecast Contributions'!H81-'Forecast Contributions'!H15+'Forecast Contributions'!H36</f>
        <v>0</v>
      </c>
      <c r="I141" s="97">
        <f ca="1">I120-'Forecast Contributions'!I81-'Forecast Contributions'!I15+'Forecast Contributions'!I36</f>
        <v>0</v>
      </c>
      <c r="J141" s="97">
        <f ca="1">J120-'Forecast Contributions'!J81-'Forecast Contributions'!J15+'Forecast Contributions'!J36</f>
        <v>0</v>
      </c>
      <c r="K141" s="97">
        <f ca="1">K120-'Forecast Contributions'!K81-'Forecast Contributions'!K15+'Forecast Contributions'!K36</f>
        <v>0</v>
      </c>
      <c r="L141" s="97">
        <f ca="1">L120-'Forecast Contributions'!L81-'Forecast Contributions'!L15+'Forecast Contributions'!L36</f>
        <v>0</v>
      </c>
      <c r="M141" s="97">
        <f ca="1">M120-'Forecast Contributions'!M81-'Forecast Contributions'!M15+'Forecast Contributions'!M36</f>
        <v>0</v>
      </c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  <c r="AA141" s="143"/>
      <c r="AB141" s="143"/>
      <c r="AC141" s="143"/>
    </row>
    <row r="142" spans="1:29" s="162" customFormat="1" x14ac:dyDescent="0.2">
      <c r="A142" s="143"/>
      <c r="B142" s="68">
        <f t="shared" si="26"/>
        <v>111</v>
      </c>
      <c r="C142" s="97">
        <f>C121-'Forecast Contributions'!C82-'Forecast Contributions'!C16+'Forecast Contributions'!C37</f>
        <v>17810254.573890366</v>
      </c>
      <c r="D142" s="97">
        <f>D121-'Forecast Contributions'!D82-'Forecast Contributions'!D16+'Forecast Contributions'!D37</f>
        <v>12808839.05378449</v>
      </c>
      <c r="E142" s="97">
        <f>E121-'Forecast Contributions'!E82-'Forecast Contributions'!E16+'Forecast Contributions'!E37</f>
        <v>13293424.174157932</v>
      </c>
      <c r="F142" s="97">
        <f>F121-'Forecast Contributions'!F82-'Forecast Contributions'!F16+'Forecast Contributions'!F37</f>
        <v>16482224.437469678</v>
      </c>
      <c r="G142" s="97">
        <f ca="1">G121-'Forecast Contributions'!G82-'Forecast Contributions'!G16+'Forecast Contributions'!G37</f>
        <v>14235245.640445955</v>
      </c>
      <c r="H142" s="97">
        <f ca="1">H121-'Forecast Contributions'!H82-'Forecast Contributions'!H16+'Forecast Contributions'!H37</f>
        <v>13130846.431230817</v>
      </c>
      <c r="I142" s="97">
        <f ca="1">I121-'Forecast Contributions'!I82-'Forecast Contributions'!I16+'Forecast Contributions'!I37</f>
        <v>13216224.097973082</v>
      </c>
      <c r="J142" s="97">
        <f ca="1">J121-'Forecast Contributions'!J82-'Forecast Contributions'!J16+'Forecast Contributions'!J37</f>
        <v>12730234.243502164</v>
      </c>
      <c r="K142" s="97">
        <f ca="1">K121-'Forecast Contributions'!K82-'Forecast Contributions'!K16+'Forecast Contributions'!K37</f>
        <v>13856847.087957477</v>
      </c>
      <c r="L142" s="97">
        <f ca="1">L121-'Forecast Contributions'!L82-'Forecast Contributions'!L16+'Forecast Contributions'!L37</f>
        <v>14540423.726695618</v>
      </c>
      <c r="M142" s="97">
        <f ca="1">M121-'Forecast Contributions'!M82-'Forecast Contributions'!M16+'Forecast Contributions'!M37</f>
        <v>14677875.402707594</v>
      </c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  <c r="AA142" s="143"/>
      <c r="AB142" s="143"/>
      <c r="AC142" s="143"/>
    </row>
    <row r="143" spans="1:29" s="162" customFormat="1" x14ac:dyDescent="0.2">
      <c r="A143" s="143"/>
      <c r="B143" s="68">
        <f t="shared" si="26"/>
        <v>114</v>
      </c>
      <c r="C143" s="97">
        <f>C122-'Forecast Contributions'!C83-'Forecast Contributions'!C17+'Forecast Contributions'!C38</f>
        <v>0</v>
      </c>
      <c r="D143" s="97">
        <f>D122-'Forecast Contributions'!D83-'Forecast Contributions'!D17+'Forecast Contributions'!D38</f>
        <v>0</v>
      </c>
      <c r="E143" s="97">
        <f>E122-'Forecast Contributions'!E83-'Forecast Contributions'!E17+'Forecast Contributions'!E38</f>
        <v>0</v>
      </c>
      <c r="F143" s="97">
        <f>F122-'Forecast Contributions'!F83-'Forecast Contributions'!F17+'Forecast Contributions'!F38</f>
        <v>0</v>
      </c>
      <c r="G143" s="97">
        <f ca="1">G122-'Forecast Contributions'!G83-'Forecast Contributions'!G17+'Forecast Contributions'!G38</f>
        <v>0</v>
      </c>
      <c r="H143" s="97">
        <f ca="1">H122-'Forecast Contributions'!H83-'Forecast Contributions'!H17+'Forecast Contributions'!H38</f>
        <v>0</v>
      </c>
      <c r="I143" s="97">
        <f ca="1">I122-'Forecast Contributions'!I83-'Forecast Contributions'!I17+'Forecast Contributions'!I38</f>
        <v>0</v>
      </c>
      <c r="J143" s="97">
        <f ca="1">J122-'Forecast Contributions'!J83-'Forecast Contributions'!J17+'Forecast Contributions'!J38</f>
        <v>0</v>
      </c>
      <c r="K143" s="97">
        <f ca="1">K122-'Forecast Contributions'!K83-'Forecast Contributions'!K17+'Forecast Contributions'!K38</f>
        <v>0</v>
      </c>
      <c r="L143" s="97">
        <f ca="1">L122-'Forecast Contributions'!L83-'Forecast Contributions'!L17+'Forecast Contributions'!L38</f>
        <v>0</v>
      </c>
      <c r="M143" s="97">
        <f ca="1">M122-'Forecast Contributions'!M83-'Forecast Contributions'!M17+'Forecast Contributions'!M38</f>
        <v>0</v>
      </c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  <c r="AA143" s="143"/>
      <c r="AB143" s="143"/>
      <c r="AC143" s="143"/>
    </row>
    <row r="144" spans="1:29" s="162" customFormat="1" x14ac:dyDescent="0.2">
      <c r="A144" s="143"/>
      <c r="B144" s="68">
        <f t="shared" si="26"/>
        <v>115</v>
      </c>
      <c r="C144" s="97">
        <f>C123-'Forecast Contributions'!C84-'Forecast Contributions'!C18+'Forecast Contributions'!C39</f>
        <v>0</v>
      </c>
      <c r="D144" s="97">
        <f>D123-'Forecast Contributions'!D84-'Forecast Contributions'!D18+'Forecast Contributions'!D39</f>
        <v>0</v>
      </c>
      <c r="E144" s="97">
        <f>E123-'Forecast Contributions'!E84-'Forecast Contributions'!E18+'Forecast Contributions'!E39</f>
        <v>0</v>
      </c>
      <c r="F144" s="97">
        <f>F123-'Forecast Contributions'!F84-'Forecast Contributions'!F18+'Forecast Contributions'!F39</f>
        <v>0</v>
      </c>
      <c r="G144" s="97">
        <f ca="1">G123-'Forecast Contributions'!G84-'Forecast Contributions'!G18+'Forecast Contributions'!G39</f>
        <v>0</v>
      </c>
      <c r="H144" s="97">
        <f ca="1">H123-'Forecast Contributions'!H84-'Forecast Contributions'!H18+'Forecast Contributions'!H39</f>
        <v>0</v>
      </c>
      <c r="I144" s="97">
        <f ca="1">I123-'Forecast Contributions'!I84-'Forecast Contributions'!I18+'Forecast Contributions'!I39</f>
        <v>0</v>
      </c>
      <c r="J144" s="97">
        <f ca="1">J123-'Forecast Contributions'!J84-'Forecast Contributions'!J18+'Forecast Contributions'!J39</f>
        <v>0</v>
      </c>
      <c r="K144" s="97">
        <f ca="1">K123-'Forecast Contributions'!K84-'Forecast Contributions'!K18+'Forecast Contributions'!K39</f>
        <v>0</v>
      </c>
      <c r="L144" s="97">
        <f ca="1">L123-'Forecast Contributions'!L84-'Forecast Contributions'!L18+'Forecast Contributions'!L39</f>
        <v>0</v>
      </c>
      <c r="M144" s="97">
        <f ca="1">M123-'Forecast Contributions'!M84-'Forecast Contributions'!M18+'Forecast Contributions'!M39</f>
        <v>0</v>
      </c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  <c r="AA144" s="143"/>
      <c r="AB144" s="143"/>
      <c r="AC144" s="143"/>
    </row>
    <row r="145" spans="1:29" s="162" customFormat="1" x14ac:dyDescent="0.2">
      <c r="A145" s="143"/>
      <c r="B145" s="68">
        <f t="shared" si="26"/>
        <v>116</v>
      </c>
      <c r="C145" s="97">
        <f>C124-'Forecast Contributions'!C85-'Forecast Contributions'!C19+'Forecast Contributions'!C40</f>
        <v>324590.78597512736</v>
      </c>
      <c r="D145" s="97">
        <f>D124-'Forecast Contributions'!D85-'Forecast Contributions'!D19+'Forecast Contributions'!D40</f>
        <v>1324749.4748245608</v>
      </c>
      <c r="E145" s="97">
        <f>E124-'Forecast Contributions'!E85-'Forecast Contributions'!E19+'Forecast Contributions'!E40</f>
        <v>837139.95235205127</v>
      </c>
      <c r="F145" s="97">
        <f>F124-'Forecast Contributions'!F85-'Forecast Contributions'!F19+'Forecast Contributions'!F40</f>
        <v>2037918.7618918044</v>
      </c>
      <c r="G145" s="97">
        <f ca="1">G124-'Forecast Contributions'!G85-'Forecast Contributions'!G19+'Forecast Contributions'!G40</f>
        <v>2156268.5448189075</v>
      </c>
      <c r="H145" s="97">
        <f ca="1">H124-'Forecast Contributions'!H85-'Forecast Contributions'!H19+'Forecast Contributions'!H40</f>
        <v>1864656.0269604097</v>
      </c>
      <c r="I145" s="97">
        <f ca="1">I124-'Forecast Contributions'!I85-'Forecast Contributions'!I19+'Forecast Contributions'!I40</f>
        <v>1807271.3114084559</v>
      </c>
      <c r="J145" s="97">
        <f ca="1">J124-'Forecast Contributions'!J85-'Forecast Contributions'!J19+'Forecast Contributions'!J40</f>
        <v>1981205.5567107233</v>
      </c>
      <c r="K145" s="97">
        <f ca="1">K124-'Forecast Contributions'!K85-'Forecast Contributions'!K19+'Forecast Contributions'!K40</f>
        <v>1417125.582739416</v>
      </c>
      <c r="L145" s="97">
        <f ca="1">L124-'Forecast Contributions'!L85-'Forecast Contributions'!L19+'Forecast Contributions'!L40</f>
        <v>1426928.2559433277</v>
      </c>
      <c r="M145" s="97">
        <f ca="1">M124-'Forecast Contributions'!M85-'Forecast Contributions'!M19+'Forecast Contributions'!M40</f>
        <v>1431190.2877711165</v>
      </c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  <c r="AA145" s="143"/>
      <c r="AB145" s="143"/>
      <c r="AC145" s="143"/>
    </row>
    <row r="146" spans="1:29" s="162" customFormat="1" x14ac:dyDescent="0.2">
      <c r="A146" s="143"/>
      <c r="B146" s="68">
        <f t="shared" si="26"/>
        <v>118</v>
      </c>
      <c r="C146" s="97">
        <f>C125-'Forecast Contributions'!C86-'Forecast Contributions'!C20+'Forecast Contributions'!C41</f>
        <v>-53362.182292824808</v>
      </c>
      <c r="D146" s="97">
        <f>D125-'Forecast Contributions'!D86-'Forecast Contributions'!D20+'Forecast Contributions'!D41</f>
        <v>-34539.188119906525</v>
      </c>
      <c r="E146" s="97">
        <f>E125-'Forecast Contributions'!E86-'Forecast Contributions'!E20+'Forecast Contributions'!E41</f>
        <v>-34953.211585871672</v>
      </c>
      <c r="F146" s="97">
        <f>F125-'Forecast Contributions'!F86-'Forecast Contributions'!F20+'Forecast Contributions'!F41</f>
        <v>-10261.691385964597</v>
      </c>
      <c r="G146" s="97">
        <f ca="1">G125-'Forecast Contributions'!G86-'Forecast Contributions'!G20+'Forecast Contributions'!G41</f>
        <v>0</v>
      </c>
      <c r="H146" s="97">
        <f ca="1">H125-'Forecast Contributions'!H86-'Forecast Contributions'!H20+'Forecast Contributions'!H41</f>
        <v>0</v>
      </c>
      <c r="I146" s="97">
        <f ca="1">I125-'Forecast Contributions'!I86-'Forecast Contributions'!I20+'Forecast Contributions'!I41</f>
        <v>0</v>
      </c>
      <c r="J146" s="97">
        <f ca="1">J125-'Forecast Contributions'!J86-'Forecast Contributions'!J20+'Forecast Contributions'!J41</f>
        <v>0</v>
      </c>
      <c r="K146" s="97">
        <f ca="1">K125-'Forecast Contributions'!K86-'Forecast Contributions'!K20+'Forecast Contributions'!K41</f>
        <v>0</v>
      </c>
      <c r="L146" s="97">
        <f ca="1">L125-'Forecast Contributions'!L86-'Forecast Contributions'!L20+'Forecast Contributions'!L41</f>
        <v>0</v>
      </c>
      <c r="M146" s="97">
        <f ca="1">M125-'Forecast Contributions'!M86-'Forecast Contributions'!M20+'Forecast Contributions'!M41</f>
        <v>0</v>
      </c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  <c r="Z146" s="143"/>
      <c r="AA146" s="143"/>
      <c r="AB146" s="143"/>
      <c r="AC146" s="143"/>
    </row>
    <row r="147" spans="1:29" s="162" customFormat="1" x14ac:dyDescent="0.2">
      <c r="A147" s="143"/>
      <c r="B147" s="74" t="s">
        <v>36</v>
      </c>
      <c r="C147" s="133">
        <f t="shared" ref="C147:M147" si="27">SUM(C134:C146)</f>
        <v>29921411.783410892</v>
      </c>
      <c r="D147" s="133">
        <f t="shared" si="27"/>
        <v>24035160.203409385</v>
      </c>
      <c r="E147" s="133">
        <f t="shared" si="27"/>
        <v>24678542.407063372</v>
      </c>
      <c r="F147" s="133">
        <f t="shared" si="27"/>
        <v>31099578.431616437</v>
      </c>
      <c r="G147" s="133">
        <f t="shared" ca="1" si="27"/>
        <v>27614989.645455923</v>
      </c>
      <c r="H147" s="133">
        <f t="shared" ca="1" si="27"/>
        <v>27420662.417999204</v>
      </c>
      <c r="I147" s="133">
        <f t="shared" ca="1" si="27"/>
        <v>26783963.120987725</v>
      </c>
      <c r="J147" s="133">
        <f t="shared" ca="1" si="27"/>
        <v>27060222.625967372</v>
      </c>
      <c r="K147" s="133">
        <f t="shared" ca="1" si="27"/>
        <v>28562420.81580326</v>
      </c>
      <c r="L147" s="133">
        <f t="shared" ca="1" si="27"/>
        <v>27790583.792145625</v>
      </c>
      <c r="M147" s="133">
        <f t="shared" ca="1" si="27"/>
        <v>28094372.258316528</v>
      </c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  <c r="AA147" s="143"/>
      <c r="AB147" s="143"/>
      <c r="AC147" s="143"/>
    </row>
    <row r="148" spans="1:29" s="162" customFormat="1" x14ac:dyDescent="0.2">
      <c r="A148" s="143"/>
      <c r="B148" s="143" t="s">
        <v>231</v>
      </c>
      <c r="C148" s="75"/>
      <c r="D148" s="75"/>
      <c r="E148" s="75"/>
      <c r="F148" s="75"/>
      <c r="G148" s="198">
        <f ca="1">G105-'Forecast Contributions'!G87-G147</f>
        <v>0</v>
      </c>
      <c r="H148" s="198">
        <f ca="1">H105-'Forecast Contributions'!H87-H147</f>
        <v>0</v>
      </c>
      <c r="I148" s="198">
        <f ca="1">I105-'Forecast Contributions'!I87-I147</f>
        <v>0</v>
      </c>
      <c r="J148" s="198">
        <f ca="1">J105-'Forecast Contributions'!J87-J147</f>
        <v>0</v>
      </c>
      <c r="K148" s="198">
        <f ca="1">K105-'Forecast Contributions'!K87-K147</f>
        <v>0</v>
      </c>
      <c r="L148" s="198">
        <f ca="1">L105-'Forecast Contributions'!L87-L147</f>
        <v>0</v>
      </c>
      <c r="M148" s="198">
        <f ca="1">M105-'Forecast Contributions'!M87-M147</f>
        <v>0</v>
      </c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  <c r="AA148" s="143"/>
      <c r="AB148" s="143"/>
      <c r="AC148" s="143"/>
    </row>
    <row r="149" spans="1:29" s="162" customFormat="1" x14ac:dyDescent="0.2">
      <c r="A149" s="143"/>
      <c r="B149" s="143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181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Z149" s="143"/>
      <c r="AA149" s="143"/>
      <c r="AB149" s="143"/>
      <c r="AC149" s="143"/>
    </row>
    <row r="150" spans="1:29" s="162" customFormat="1" x14ac:dyDescent="0.2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  <c r="AA150" s="143"/>
      <c r="AB150" s="143"/>
      <c r="AC150" s="143"/>
    </row>
    <row r="151" spans="1:29" x14ac:dyDescent="0.2">
      <c r="A151" s="4"/>
      <c r="B151" s="34" t="str">
        <f>"Forecast Expenditure by AER Category"</f>
        <v>Forecast Expenditure by AER Category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143"/>
      <c r="AB151" s="4"/>
      <c r="AC151" s="4"/>
    </row>
    <row r="152" spans="1:29" x14ac:dyDescent="0.2">
      <c r="A152" s="4"/>
      <c r="B152" s="48" t="s">
        <v>178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280" t="str">
        <f>"$ "&amp;Inflation!$D$4</f>
        <v>$ 2021</v>
      </c>
      <c r="P152" s="298"/>
      <c r="Q152" s="298"/>
      <c r="R152" s="298"/>
      <c r="S152" s="298"/>
      <c r="T152" s="298"/>
      <c r="U152" s="298"/>
      <c r="V152" s="298"/>
      <c r="W152" s="298"/>
      <c r="X152" s="298"/>
      <c r="Y152" s="282"/>
      <c r="Z152" s="143"/>
      <c r="AA152" s="4"/>
      <c r="AB152" s="4"/>
    </row>
    <row r="153" spans="1:29" ht="25.5" customHeight="1" x14ac:dyDescent="0.2">
      <c r="A153" s="4"/>
      <c r="B153" s="291" t="s">
        <v>32</v>
      </c>
      <c r="C153" s="291"/>
      <c r="D153" s="302" t="s">
        <v>33</v>
      </c>
      <c r="E153" s="302"/>
      <c r="F153" s="302"/>
      <c r="G153" s="302"/>
      <c r="H153" s="302"/>
      <c r="I153" s="302"/>
      <c r="J153" s="302"/>
      <c r="K153" s="302"/>
      <c r="L153" s="302"/>
      <c r="M153" s="302"/>
      <c r="N153" s="79" t="s">
        <v>81</v>
      </c>
      <c r="O153" s="3" t="s">
        <v>325</v>
      </c>
      <c r="P153" s="3" t="s">
        <v>326</v>
      </c>
      <c r="Q153" s="3" t="s">
        <v>327</v>
      </c>
      <c r="R153" s="163" t="s">
        <v>328</v>
      </c>
      <c r="S153" s="163" t="s">
        <v>312</v>
      </c>
      <c r="T153" s="163" t="s">
        <v>313</v>
      </c>
      <c r="U153" s="163" t="s">
        <v>314</v>
      </c>
      <c r="V153" s="163" t="s">
        <v>315</v>
      </c>
      <c r="W153" s="163" t="s">
        <v>316</v>
      </c>
      <c r="X153" s="163" t="s">
        <v>317</v>
      </c>
      <c r="Y153" s="163" t="s">
        <v>318</v>
      </c>
      <c r="Z153" s="143"/>
      <c r="AA153" s="4"/>
      <c r="AB153" s="4"/>
    </row>
    <row r="154" spans="1:29" x14ac:dyDescent="0.2">
      <c r="A154" s="4"/>
      <c r="B154" s="301" t="s">
        <v>44</v>
      </c>
      <c r="C154" s="301"/>
      <c r="D154" s="303" t="s">
        <v>45</v>
      </c>
      <c r="E154" s="303"/>
      <c r="F154" s="303"/>
      <c r="G154" s="303"/>
      <c r="H154" s="303"/>
      <c r="I154" s="303"/>
      <c r="J154" s="303"/>
      <c r="K154" s="303"/>
      <c r="L154" s="303"/>
      <c r="M154" s="303"/>
      <c r="N154" s="55" t="s">
        <v>46</v>
      </c>
      <c r="O154" s="92">
        <f>SUMPRODUCT(C92:C104,'Function Code Mapping'!$D$26:$D$38)</f>
        <v>0</v>
      </c>
      <c r="P154" s="92">
        <f>SUMPRODUCT(D92:D104,'Function Code Mapping'!$D$26:$D$38)</f>
        <v>0</v>
      </c>
      <c r="Q154" s="92">
        <f>SUMPRODUCT(E92:E104,'Function Code Mapping'!$D$26:$D$38)</f>
        <v>0</v>
      </c>
      <c r="R154" s="92">
        <f>SUMPRODUCT(F92:F104,'Function Code Mapping'!$D$26:$D$38)</f>
        <v>0</v>
      </c>
      <c r="S154" s="197">
        <f ca="1">SUMPRODUCT(G92:G104,'Function Code Mapping'!$D$26:$D$38)</f>
        <v>0</v>
      </c>
      <c r="T154" s="92">
        <f ca="1">SUMPRODUCT(H92:H104,'Function Code Mapping'!$D$26:$D$38)</f>
        <v>0</v>
      </c>
      <c r="U154" s="92">
        <f ca="1">SUMPRODUCT(I92:I104,'Function Code Mapping'!$D$26:$D$38)</f>
        <v>0</v>
      </c>
      <c r="V154" s="92">
        <f ca="1">SUMPRODUCT(J92:J104,'Function Code Mapping'!$D$26:$D$38)</f>
        <v>0</v>
      </c>
      <c r="W154" s="92">
        <f ca="1">SUMPRODUCT(K92:K104,'Function Code Mapping'!$D$26:$D$38)</f>
        <v>0</v>
      </c>
      <c r="X154" s="92">
        <f ca="1">SUMPRODUCT(L92:L104,'Function Code Mapping'!$D$26:$D$38)</f>
        <v>0</v>
      </c>
      <c r="Y154" s="92">
        <f ca="1">SUMPRODUCT(M92:M104,'Function Code Mapping'!$D$26:$D$38)</f>
        <v>0</v>
      </c>
      <c r="Z154" s="143"/>
      <c r="AA154" s="4"/>
      <c r="AB154" s="4"/>
    </row>
    <row r="155" spans="1:29" x14ac:dyDescent="0.2">
      <c r="A155" s="4"/>
      <c r="B155" s="301"/>
      <c r="C155" s="301"/>
      <c r="D155" s="303" t="s">
        <v>47</v>
      </c>
      <c r="E155" s="303"/>
      <c r="F155" s="303"/>
      <c r="G155" s="303"/>
      <c r="H155" s="303"/>
      <c r="I155" s="303"/>
      <c r="J155" s="303"/>
      <c r="K155" s="303"/>
      <c r="L155" s="303"/>
      <c r="M155" s="303"/>
      <c r="N155" s="55" t="s">
        <v>48</v>
      </c>
      <c r="O155" s="93">
        <f>SUMPRODUCT(C92:C104,'Function Code Mapping'!$E$26:$E$38)</f>
        <v>10284554.296310203</v>
      </c>
      <c r="P155" s="93">
        <f>SUMPRODUCT(D92:D104,'Function Code Mapping'!$E$26:$E$38)</f>
        <v>13390000.631133489</v>
      </c>
      <c r="Q155" s="93">
        <f>SUMPRODUCT(E92:E104,'Function Code Mapping'!$E$26:$E$38)</f>
        <v>15353804.364899632</v>
      </c>
      <c r="R155" s="93">
        <f>SUMPRODUCT(F92:F104,'Function Code Mapping'!$E$26:$E$38)</f>
        <v>18068713.684422947</v>
      </c>
      <c r="S155" s="93">
        <f ca="1">SUMPRODUCT(G92:G104,'Function Code Mapping'!$E$26:$E$38)</f>
        <v>15203557.030731935</v>
      </c>
      <c r="T155" s="93">
        <f ca="1">SUMPRODUCT(H92:H104,'Function Code Mapping'!$E$26:$E$38)</f>
        <v>14794423.766881078</v>
      </c>
      <c r="U155" s="93">
        <f ca="1">SUMPRODUCT(I92:I104,'Function Code Mapping'!$E$26:$E$38)</f>
        <v>11493734.496342812</v>
      </c>
      <c r="V155" s="93">
        <f ca="1">SUMPRODUCT(J92:J104,'Function Code Mapping'!$E$26:$E$38)</f>
        <v>13827869.725486329</v>
      </c>
      <c r="W155" s="93">
        <f ca="1">SUMPRODUCT(K92:K104,'Function Code Mapping'!$E$26:$E$38)</f>
        <v>13949078.160051949</v>
      </c>
      <c r="X155" s="93">
        <f ca="1">SUMPRODUCT(L92:L104,'Function Code Mapping'!$E$26:$E$38)</f>
        <v>14501190.943718741</v>
      </c>
      <c r="Y155" s="93">
        <f ca="1">SUMPRODUCT(M92:M104,'Function Code Mapping'!$E$26:$E$38)</f>
        <v>14676906.049703786</v>
      </c>
      <c r="Z155" s="143"/>
      <c r="AA155" s="4"/>
      <c r="AB155" s="4"/>
    </row>
    <row r="156" spans="1:29" x14ac:dyDescent="0.2">
      <c r="A156" s="4"/>
      <c r="B156" s="301"/>
      <c r="C156" s="301"/>
      <c r="D156" s="303" t="s">
        <v>49</v>
      </c>
      <c r="E156" s="303"/>
      <c r="F156" s="303"/>
      <c r="G156" s="303"/>
      <c r="H156" s="303"/>
      <c r="I156" s="303"/>
      <c r="J156" s="303"/>
      <c r="K156" s="303"/>
      <c r="L156" s="303"/>
      <c r="M156" s="303"/>
      <c r="N156" s="55" t="s">
        <v>50</v>
      </c>
      <c r="O156" s="93">
        <f>SUMPRODUCT(C92:C104,'Function Code Mapping'!$F$26:$F$38)</f>
        <v>22374579.773826249</v>
      </c>
      <c r="P156" s="93">
        <f>SUMPRODUCT(D92:D104,'Function Code Mapping'!$F$26:$F$38)</f>
        <v>18997533.750863258</v>
      </c>
      <c r="Q156" s="93">
        <f>SUMPRODUCT(E92:E104,'Function Code Mapping'!$F$26:$F$38)</f>
        <v>21689801.021873388</v>
      </c>
      <c r="R156" s="93">
        <f>SUMPRODUCT(F92:F104,'Function Code Mapping'!$F$26:$F$38)</f>
        <v>25288947.821176991</v>
      </c>
      <c r="S156" s="93">
        <f ca="1">SUMPRODUCT(G92:G104,'Function Code Mapping'!$F$26:$F$38)</f>
        <v>22087715.591934972</v>
      </c>
      <c r="T156" s="93">
        <f ca="1">SUMPRODUCT(H92:H104,'Function Code Mapping'!$F$26:$F$38)</f>
        <v>20870808.464812905</v>
      </c>
      <c r="U156" s="93">
        <f ca="1">SUMPRODUCT(I92:I104,'Function Code Mapping'!$F$26:$F$38)</f>
        <v>20081142.34399756</v>
      </c>
      <c r="V156" s="93">
        <f ca="1">SUMPRODUCT(J92:J104,'Function Code Mapping'!$F$26:$F$38)</f>
        <v>19162385.62429519</v>
      </c>
      <c r="W156" s="93">
        <f ca="1">SUMPRODUCT(K92:K104,'Function Code Mapping'!$F$26:$F$38)</f>
        <v>20289183.757326573</v>
      </c>
      <c r="X156" s="93">
        <f ca="1">SUMPRODUCT(L92:L104,'Function Code Mapping'!$F$26:$F$38)</f>
        <v>21225862.648542777</v>
      </c>
      <c r="Y156" s="93">
        <f ca="1">SUMPRODUCT(M92:M104,'Function Code Mapping'!$F$26:$F$38)</f>
        <v>21466431.951760445</v>
      </c>
      <c r="Z156" s="143"/>
      <c r="AA156" s="4"/>
      <c r="AB156" s="4"/>
    </row>
    <row r="157" spans="1:29" x14ac:dyDescent="0.2">
      <c r="A157" s="4"/>
      <c r="B157" s="300" t="s">
        <v>177</v>
      </c>
      <c r="C157" s="300"/>
      <c r="D157" s="304" t="s">
        <v>45</v>
      </c>
      <c r="E157" s="304"/>
      <c r="F157" s="304"/>
      <c r="G157" s="304"/>
      <c r="H157" s="304"/>
      <c r="I157" s="304"/>
      <c r="J157" s="304"/>
      <c r="K157" s="304"/>
      <c r="L157" s="304"/>
      <c r="M157" s="304"/>
      <c r="N157" s="56" t="s">
        <v>51</v>
      </c>
      <c r="O157" s="93">
        <f>SUMPRODUCT(C92:C104,'Function Code Mapping'!$G$26:$G$38)</f>
        <v>1752349.7087592082</v>
      </c>
      <c r="P157" s="93">
        <f>SUMPRODUCT(D92:D104,'Function Code Mapping'!$G$26:$G$38)</f>
        <v>1814489.9243506975</v>
      </c>
      <c r="Q157" s="93">
        <f>SUMPRODUCT(E92:E104,'Function Code Mapping'!$G$26:$G$38)</f>
        <v>2104711.2352058012</v>
      </c>
      <c r="R157" s="93">
        <f>SUMPRODUCT(F92:F104,'Function Code Mapping'!$G$26:$G$38)</f>
        <v>2449061.5585791552</v>
      </c>
      <c r="S157" s="93">
        <f ca="1">SUMPRODUCT(G92:G104,'Function Code Mapping'!$G$26:$G$38)</f>
        <v>2030153.1067237156</v>
      </c>
      <c r="T157" s="93">
        <f ca="1">SUMPRODUCT(H92:H104,'Function Code Mapping'!$G$26:$G$38)</f>
        <v>1990634.1558425399</v>
      </c>
      <c r="U157" s="93">
        <f ca="1">SUMPRODUCT(I92:I104,'Function Code Mapping'!$G$26:$G$38)</f>
        <v>1766399.1266015384</v>
      </c>
      <c r="V157" s="93">
        <f ca="1">SUMPRODUCT(J92:J104,'Function Code Mapping'!$G$26:$G$38)</f>
        <v>1739068.3071650662</v>
      </c>
      <c r="W157" s="93">
        <f ca="1">SUMPRODUCT(K92:K104,'Function Code Mapping'!$G$26:$G$38)</f>
        <v>1742718.6263956232</v>
      </c>
      <c r="X157" s="93">
        <f ca="1">SUMPRODUCT(L92:L104,'Function Code Mapping'!$G$26:$G$38)</f>
        <v>1849960.1670696456</v>
      </c>
      <c r="Y157" s="93">
        <f ca="1">SUMPRODUCT(M92:M104,'Function Code Mapping'!$G$26:$G$38)</f>
        <v>1879766.6254223748</v>
      </c>
      <c r="Z157" s="143"/>
      <c r="AA157" s="4"/>
      <c r="AB157" s="4"/>
    </row>
    <row r="158" spans="1:29" x14ac:dyDescent="0.2">
      <c r="A158" s="4"/>
      <c r="B158" s="300"/>
      <c r="C158" s="300"/>
      <c r="D158" s="304" t="s">
        <v>52</v>
      </c>
      <c r="E158" s="304"/>
      <c r="F158" s="304"/>
      <c r="G158" s="304"/>
      <c r="H158" s="304"/>
      <c r="I158" s="304"/>
      <c r="J158" s="304"/>
      <c r="K158" s="304"/>
      <c r="L158" s="304"/>
      <c r="M158" s="304"/>
      <c r="N158" s="56" t="s">
        <v>53</v>
      </c>
      <c r="O158" s="93">
        <f>SUMPRODUCT(C92:C104,'Function Code Mapping'!$H$26:$H$38)</f>
        <v>0</v>
      </c>
      <c r="P158" s="93">
        <f>SUMPRODUCT(D92:D104,'Function Code Mapping'!$H$26:$H$38)</f>
        <v>0</v>
      </c>
      <c r="Q158" s="93">
        <f>SUMPRODUCT(E92:E104,'Function Code Mapping'!$H$26:$H$38)</f>
        <v>0</v>
      </c>
      <c r="R158" s="93">
        <f>SUMPRODUCT(F92:F104,'Function Code Mapping'!$H$26:$H$38)</f>
        <v>0</v>
      </c>
      <c r="S158" s="93">
        <f ca="1">SUMPRODUCT(G92:G104,'Function Code Mapping'!$H$26:$H$38)</f>
        <v>0</v>
      </c>
      <c r="T158" s="93">
        <f ca="1">SUMPRODUCT(H92:H104,'Function Code Mapping'!$H$26:$H$38)</f>
        <v>0</v>
      </c>
      <c r="U158" s="93">
        <f ca="1">SUMPRODUCT(I92:I104,'Function Code Mapping'!$H$26:$H$38)</f>
        <v>0</v>
      </c>
      <c r="V158" s="93">
        <f ca="1">SUMPRODUCT(J92:J104,'Function Code Mapping'!$H$26:$H$38)</f>
        <v>0</v>
      </c>
      <c r="W158" s="93">
        <f ca="1">SUMPRODUCT(K92:K104,'Function Code Mapping'!$H$26:$H$38)</f>
        <v>0</v>
      </c>
      <c r="X158" s="93">
        <f ca="1">SUMPRODUCT(L92:L104,'Function Code Mapping'!$H$26:$H$38)</f>
        <v>0</v>
      </c>
      <c r="Y158" s="93">
        <f ca="1">SUMPRODUCT(M92:M104,'Function Code Mapping'!$H$26:$H$38)</f>
        <v>0</v>
      </c>
      <c r="Z158" s="143"/>
      <c r="AA158" s="4"/>
      <c r="AB158" s="4"/>
    </row>
    <row r="159" spans="1:29" x14ac:dyDescent="0.2">
      <c r="A159" s="4"/>
      <c r="B159" s="300"/>
      <c r="C159" s="300"/>
      <c r="D159" s="304" t="s">
        <v>54</v>
      </c>
      <c r="E159" s="304"/>
      <c r="F159" s="304"/>
      <c r="G159" s="304"/>
      <c r="H159" s="304"/>
      <c r="I159" s="304"/>
      <c r="J159" s="304"/>
      <c r="K159" s="304"/>
      <c r="L159" s="304"/>
      <c r="M159" s="304"/>
      <c r="N159" s="56" t="s">
        <v>55</v>
      </c>
      <c r="O159" s="93">
        <f>SUMPRODUCT(C92:C104,'Function Code Mapping'!$I$26:$I$38)</f>
        <v>9410999.332228044</v>
      </c>
      <c r="P159" s="93">
        <f>SUMPRODUCT(D92:D104,'Function Code Mapping'!$I$26:$I$38)</f>
        <v>8026121.4476246517</v>
      </c>
      <c r="Q159" s="93">
        <f>SUMPRODUCT(E92:E104,'Function Code Mapping'!$I$26:$I$38)</f>
        <v>9166060.1904705353</v>
      </c>
      <c r="R159" s="93">
        <f>SUMPRODUCT(F92:F104,'Function Code Mapping'!$I$26:$I$38)</f>
        <v>10723078.045666257</v>
      </c>
      <c r="S159" s="93">
        <f ca="1">SUMPRODUCT(G92:G104,'Function Code Mapping'!$I$26:$I$38)</f>
        <v>9331564.7539973725</v>
      </c>
      <c r="T159" s="93">
        <f ca="1">SUMPRODUCT(H92:H104,'Function Code Mapping'!$I$26:$I$38)</f>
        <v>8799978.0247203037</v>
      </c>
      <c r="U159" s="93">
        <f ca="1">SUMPRODUCT(I92:I104,'Function Code Mapping'!$I$26:$I$38)</f>
        <v>8447106.6886845138</v>
      </c>
      <c r="V159" s="93">
        <f ca="1">SUMPRODUCT(J92:J104,'Function Code Mapping'!$I$26:$I$38)</f>
        <v>8035044.7182316491</v>
      </c>
      <c r="W159" s="93">
        <f ca="1">SUMPRODUCT(K92:K104,'Function Code Mapping'!$I$26:$I$38)</f>
        <v>8525134.3242556881</v>
      </c>
      <c r="X159" s="93">
        <f ca="1">SUMPRODUCT(L92:L104,'Function Code Mapping'!$I$26:$I$38)</f>
        <v>8932926.4014523588</v>
      </c>
      <c r="Y159" s="93">
        <f ca="1">SUMPRODUCT(M92:M104,'Function Code Mapping'!$I$26:$I$38)</f>
        <v>9034153.5639134888</v>
      </c>
      <c r="Z159" s="143"/>
      <c r="AA159" s="4"/>
      <c r="AB159" s="4"/>
    </row>
    <row r="160" spans="1:29" x14ac:dyDescent="0.2">
      <c r="A160" s="4"/>
      <c r="B160" s="300"/>
      <c r="C160" s="300"/>
      <c r="D160" s="304" t="s">
        <v>56</v>
      </c>
      <c r="E160" s="304"/>
      <c r="F160" s="304"/>
      <c r="G160" s="304"/>
      <c r="H160" s="304"/>
      <c r="I160" s="304"/>
      <c r="J160" s="304"/>
      <c r="K160" s="304"/>
      <c r="L160" s="304"/>
      <c r="M160" s="304"/>
      <c r="N160" s="56" t="s">
        <v>57</v>
      </c>
      <c r="O160" s="93">
        <f>SUMPRODUCT(C92:C104,'Function Code Mapping'!$J$26:$J$38)</f>
        <v>3130443.0489423983</v>
      </c>
      <c r="P160" s="93">
        <f>SUMPRODUCT(D92:D104,'Function Code Mapping'!$J$26:$J$38)</f>
        <v>3500728.9769395352</v>
      </c>
      <c r="Q160" s="93">
        <f>SUMPRODUCT(E92:E104,'Function Code Mapping'!$J$26:$J$38)</f>
        <v>2031751.7517403318</v>
      </c>
      <c r="R160" s="93">
        <f>SUMPRODUCT(F92:F104,'Function Code Mapping'!$J$26:$J$38)</f>
        <v>2922475.2002105257</v>
      </c>
      <c r="S160" s="93">
        <f ca="1">SUMPRODUCT(G92:G104,'Function Code Mapping'!$J$26:$J$38)</f>
        <v>3632899.0485023484</v>
      </c>
      <c r="T160" s="93">
        <f ca="1">SUMPRODUCT(H92:H104,'Function Code Mapping'!$J$26:$J$38)</f>
        <v>6596179.9568935139</v>
      </c>
      <c r="U160" s="93">
        <f ca="1">SUMPRODUCT(I92:I104,'Function Code Mapping'!$J$26:$J$38)</f>
        <v>3972822.604426322</v>
      </c>
      <c r="V160" s="93">
        <f ca="1">SUMPRODUCT(J92:J104,'Function Code Mapping'!$J$26:$J$38)</f>
        <v>5115822.811132703</v>
      </c>
      <c r="W160" s="93">
        <f ca="1">SUMPRODUCT(K92:K104,'Function Code Mapping'!$J$26:$J$38)</f>
        <v>7337417.6792857982</v>
      </c>
      <c r="X160" s="93">
        <f ca="1">SUMPRODUCT(L92:L104,'Function Code Mapping'!$J$26:$J$38)</f>
        <v>2894227.9429796073</v>
      </c>
      <c r="Y160" s="93">
        <f ca="1">SUMPRODUCT(M92:M104,'Function Code Mapping'!$J$26:$J$38)</f>
        <v>2894227.9429796073</v>
      </c>
      <c r="Z160" s="143"/>
      <c r="AA160" s="4"/>
      <c r="AB160" s="4"/>
    </row>
    <row r="161" spans="1:29" x14ac:dyDescent="0.2">
      <c r="A161" s="4"/>
      <c r="B161" s="300"/>
      <c r="C161" s="300"/>
      <c r="D161" s="304" t="s">
        <v>58</v>
      </c>
      <c r="E161" s="304"/>
      <c r="F161" s="304"/>
      <c r="G161" s="304"/>
      <c r="H161" s="304"/>
      <c r="I161" s="304"/>
      <c r="J161" s="304"/>
      <c r="K161" s="304"/>
      <c r="L161" s="304"/>
      <c r="M161" s="304"/>
      <c r="N161" s="56" t="s">
        <v>59</v>
      </c>
      <c r="O161" s="93">
        <f>SUMPRODUCT(C92:C104,'Function Code Mapping'!$K$26:$K$38)</f>
        <v>0</v>
      </c>
      <c r="P161" s="93">
        <f>SUMPRODUCT(D92:D104,'Function Code Mapping'!$K$26:$K$38)</f>
        <v>0</v>
      </c>
      <c r="Q161" s="93">
        <f>SUMPRODUCT(E92:E104,'Function Code Mapping'!$K$26:$K$38)</f>
        <v>0</v>
      </c>
      <c r="R161" s="93">
        <f>SUMPRODUCT(F92:F104,'Function Code Mapping'!$K$26:$K$38)</f>
        <v>0</v>
      </c>
      <c r="S161" s="93">
        <f ca="1">SUMPRODUCT(G92:G104,'Function Code Mapping'!$K$26:$K$38)</f>
        <v>0</v>
      </c>
      <c r="T161" s="93">
        <f ca="1">SUMPRODUCT(H92:H104,'Function Code Mapping'!$K$26:$K$38)</f>
        <v>0</v>
      </c>
      <c r="U161" s="93">
        <f ca="1">SUMPRODUCT(I92:I104,'Function Code Mapping'!$K$26:$K$38)</f>
        <v>0</v>
      </c>
      <c r="V161" s="93">
        <f ca="1">SUMPRODUCT(J92:J104,'Function Code Mapping'!$K$26:$K$38)</f>
        <v>0</v>
      </c>
      <c r="W161" s="93">
        <f ca="1">SUMPRODUCT(K92:K104,'Function Code Mapping'!$K$26:$K$38)</f>
        <v>0</v>
      </c>
      <c r="X161" s="93">
        <f ca="1">SUMPRODUCT(L92:L104,'Function Code Mapping'!$K$26:$K$38)</f>
        <v>0</v>
      </c>
      <c r="Y161" s="93">
        <f ca="1">SUMPRODUCT(M92:M104,'Function Code Mapping'!$K$26:$K$38)</f>
        <v>0</v>
      </c>
      <c r="Z161" s="143"/>
      <c r="AA161" s="4"/>
      <c r="AB161" s="4"/>
    </row>
    <row r="162" spans="1:29" x14ac:dyDescent="0.2">
      <c r="A162" s="4"/>
      <c r="B162" s="301" t="s">
        <v>60</v>
      </c>
      <c r="C162" s="301"/>
      <c r="D162" s="303" t="s">
        <v>47</v>
      </c>
      <c r="E162" s="303"/>
      <c r="F162" s="303"/>
      <c r="G162" s="303"/>
      <c r="H162" s="303"/>
      <c r="I162" s="303"/>
      <c r="J162" s="303"/>
      <c r="K162" s="303"/>
      <c r="L162" s="303"/>
      <c r="M162" s="303"/>
      <c r="N162" s="55" t="s">
        <v>61</v>
      </c>
      <c r="O162" s="93">
        <f>SUMPRODUCT(C92:C104,'Function Code Mapping'!$L$26:$L$38)</f>
        <v>0</v>
      </c>
      <c r="P162" s="93">
        <f>SUMPRODUCT(D92:D104,'Function Code Mapping'!$L$26:$L$38)</f>
        <v>0</v>
      </c>
      <c r="Q162" s="93">
        <f>SUMPRODUCT(E92:E104,'Function Code Mapping'!$L$26:$L$38)</f>
        <v>0</v>
      </c>
      <c r="R162" s="93">
        <f>SUMPRODUCT(F92:F104,'Function Code Mapping'!$L$26:$L$38)</f>
        <v>0</v>
      </c>
      <c r="S162" s="93">
        <f ca="1">SUMPRODUCT(G92:G104,'Function Code Mapping'!$L$26:$L$38)</f>
        <v>0</v>
      </c>
      <c r="T162" s="93">
        <f ca="1">SUMPRODUCT(H92:H104,'Function Code Mapping'!$L$26:$L$38)</f>
        <v>0</v>
      </c>
      <c r="U162" s="93">
        <f ca="1">SUMPRODUCT(I92:I104,'Function Code Mapping'!$L$26:$L$38)</f>
        <v>0</v>
      </c>
      <c r="V162" s="93">
        <f ca="1">SUMPRODUCT(J92:J104,'Function Code Mapping'!$L$26:$L$38)</f>
        <v>0</v>
      </c>
      <c r="W162" s="93">
        <f ca="1">SUMPRODUCT(K92:K104,'Function Code Mapping'!$L$26:$L$38)</f>
        <v>0</v>
      </c>
      <c r="X162" s="93">
        <f ca="1">SUMPRODUCT(L92:L104,'Function Code Mapping'!$L$26:$L$38)</f>
        <v>0</v>
      </c>
      <c r="Y162" s="93">
        <f ca="1">SUMPRODUCT(M92:M104,'Function Code Mapping'!$L$26:$L$38)</f>
        <v>0</v>
      </c>
      <c r="Z162" s="143"/>
      <c r="AA162" s="4"/>
      <c r="AB162" s="4"/>
    </row>
    <row r="163" spans="1:29" x14ac:dyDescent="0.2">
      <c r="A163" s="4"/>
      <c r="B163" s="301"/>
      <c r="C163" s="301"/>
      <c r="D163" s="303" t="s">
        <v>62</v>
      </c>
      <c r="E163" s="303"/>
      <c r="F163" s="303"/>
      <c r="G163" s="303"/>
      <c r="H163" s="303"/>
      <c r="I163" s="303"/>
      <c r="J163" s="303"/>
      <c r="K163" s="303"/>
      <c r="L163" s="303"/>
      <c r="M163" s="303"/>
      <c r="N163" s="55" t="s">
        <v>63</v>
      </c>
      <c r="O163" s="93">
        <f>SUMPRODUCT(C92:C104,'Function Code Mapping'!$M$26:$M$38)</f>
        <v>0</v>
      </c>
      <c r="P163" s="93">
        <f>SUMPRODUCT(D92:D104,'Function Code Mapping'!$M$26:$M$38)</f>
        <v>0</v>
      </c>
      <c r="Q163" s="93">
        <f>SUMPRODUCT(E92:E104,'Function Code Mapping'!$M$26:$M$38)</f>
        <v>0</v>
      </c>
      <c r="R163" s="93">
        <f>SUMPRODUCT(F92:F104,'Function Code Mapping'!$M$26:$M$38)</f>
        <v>0</v>
      </c>
      <c r="S163" s="93">
        <f ca="1">SUMPRODUCT(G92:G104,'Function Code Mapping'!$M$26:$M$38)</f>
        <v>0</v>
      </c>
      <c r="T163" s="93">
        <f ca="1">SUMPRODUCT(H92:H104,'Function Code Mapping'!$M$26:$M$38)</f>
        <v>0</v>
      </c>
      <c r="U163" s="93">
        <f ca="1">SUMPRODUCT(I92:I104,'Function Code Mapping'!$M$26:$M$38)</f>
        <v>0</v>
      </c>
      <c r="V163" s="93">
        <f ca="1">SUMPRODUCT(J92:J104,'Function Code Mapping'!$M$26:$M$38)</f>
        <v>0</v>
      </c>
      <c r="W163" s="93">
        <f ca="1">SUMPRODUCT(K92:K104,'Function Code Mapping'!$M$26:$M$38)</f>
        <v>0</v>
      </c>
      <c r="X163" s="93">
        <f ca="1">SUMPRODUCT(L92:L104,'Function Code Mapping'!$M$26:$M$38)</f>
        <v>0</v>
      </c>
      <c r="Y163" s="93">
        <f ca="1">SUMPRODUCT(M92:M104,'Function Code Mapping'!$M$26:$M$38)</f>
        <v>0</v>
      </c>
      <c r="Z163" s="143"/>
      <c r="AA163" s="4"/>
      <c r="AB163" s="4"/>
    </row>
    <row r="164" spans="1:29" x14ac:dyDescent="0.2">
      <c r="A164" s="4"/>
      <c r="B164" s="301"/>
      <c r="C164" s="301"/>
      <c r="D164" s="303" t="s">
        <v>64</v>
      </c>
      <c r="E164" s="303"/>
      <c r="F164" s="303"/>
      <c r="G164" s="303"/>
      <c r="H164" s="303"/>
      <c r="I164" s="303"/>
      <c r="J164" s="303"/>
      <c r="K164" s="303"/>
      <c r="L164" s="303"/>
      <c r="M164" s="303"/>
      <c r="N164" s="55" t="s">
        <v>65</v>
      </c>
      <c r="O164" s="93">
        <f>SUMPRODUCT(C92:C104,'Function Code Mapping'!$N$26:$N$38)</f>
        <v>144.30086874409818</v>
      </c>
      <c r="P164" s="93">
        <f>SUMPRODUCT(D92:D104,'Function Code Mapping'!$N$26:$N$38)</f>
        <v>74557.168195348844</v>
      </c>
      <c r="Q164" s="93">
        <f>SUMPRODUCT(E92:E104,'Function Code Mapping'!$N$26:$N$38)</f>
        <v>75835.880985263866</v>
      </c>
      <c r="R164" s="93">
        <f>SUMPRODUCT(F92:F104,'Function Code Mapping'!$N$26:$N$38)</f>
        <v>6795.4746702800376</v>
      </c>
      <c r="S164" s="93">
        <f ca="1">SUMPRODUCT(G92:G104,'Function Code Mapping'!$N$26:$N$38)</f>
        <v>39333.206179909212</v>
      </c>
      <c r="T164" s="93">
        <f ca="1">SUMPRODUCT(H92:H104,'Function Code Mapping'!$N$26:$N$38)</f>
        <v>39333.206179909212</v>
      </c>
      <c r="U164" s="93">
        <f ca="1">SUMPRODUCT(I92:I104,'Function Code Mapping'!$N$26:$N$38)</f>
        <v>22788.32890633187</v>
      </c>
      <c r="V164" s="93">
        <f ca="1">SUMPRODUCT(J92:J104,'Function Code Mapping'!$N$26:$N$38)</f>
        <v>39333.206179909212</v>
      </c>
      <c r="W164" s="93">
        <f ca="1">SUMPRODUCT(K92:K104,'Function Code Mapping'!$N$26:$N$38)</f>
        <v>39333.206179909212</v>
      </c>
      <c r="X164" s="93">
        <f ca="1">SUMPRODUCT(L92:L104,'Function Code Mapping'!$N$26:$N$38)</f>
        <v>39333.206179909212</v>
      </c>
      <c r="Y164" s="93">
        <f ca="1">SUMPRODUCT(M92:M104,'Function Code Mapping'!$N$26:$N$38)</f>
        <v>39333.206179909212</v>
      </c>
      <c r="Z164" s="143"/>
      <c r="AA164" s="4"/>
      <c r="AB164" s="4"/>
    </row>
    <row r="165" spans="1:29" x14ac:dyDescent="0.2">
      <c r="A165" s="4"/>
      <c r="B165" s="299" t="s">
        <v>66</v>
      </c>
      <c r="C165" s="299"/>
      <c r="D165" s="304" t="s">
        <v>45</v>
      </c>
      <c r="E165" s="304"/>
      <c r="F165" s="304"/>
      <c r="G165" s="304"/>
      <c r="H165" s="304"/>
      <c r="I165" s="304"/>
      <c r="J165" s="304"/>
      <c r="K165" s="304"/>
      <c r="L165" s="304"/>
      <c r="M165" s="304"/>
      <c r="N165" s="57" t="s">
        <v>67</v>
      </c>
      <c r="O165" s="93">
        <f>SUMPRODUCT(C92:C104,'Function Code Mapping'!$O$26:$O$38)</f>
        <v>0</v>
      </c>
      <c r="P165" s="93">
        <f>SUMPRODUCT(D92:D104,'Function Code Mapping'!$O$26:$O$38)</f>
        <v>0</v>
      </c>
      <c r="Q165" s="93">
        <f>SUMPRODUCT(E92:E104,'Function Code Mapping'!$O$26:$O$38)</f>
        <v>0</v>
      </c>
      <c r="R165" s="93">
        <f>SUMPRODUCT(F92:F104,'Function Code Mapping'!$O$26:$O$38)</f>
        <v>0</v>
      </c>
      <c r="S165" s="93">
        <f ca="1">SUMPRODUCT(G92:G104,'Function Code Mapping'!$O$26:$O$38)</f>
        <v>0</v>
      </c>
      <c r="T165" s="93">
        <f ca="1">SUMPRODUCT(H92:H104,'Function Code Mapping'!$O$26:$O$38)</f>
        <v>0</v>
      </c>
      <c r="U165" s="93">
        <f ca="1">SUMPRODUCT(I92:I104,'Function Code Mapping'!$O$26:$O$38)</f>
        <v>0</v>
      </c>
      <c r="V165" s="93">
        <f ca="1">SUMPRODUCT(J92:J104,'Function Code Mapping'!$O$26:$O$38)</f>
        <v>0</v>
      </c>
      <c r="W165" s="93">
        <f ca="1">SUMPRODUCT(K92:K104,'Function Code Mapping'!$O$26:$O$38)</f>
        <v>0</v>
      </c>
      <c r="X165" s="93">
        <f ca="1">SUMPRODUCT(L92:L104,'Function Code Mapping'!$O$26:$O$38)</f>
        <v>0</v>
      </c>
      <c r="Y165" s="93">
        <f ca="1">SUMPRODUCT(M92:M104,'Function Code Mapping'!$O$26:$O$38)</f>
        <v>0</v>
      </c>
      <c r="Z165" s="143"/>
      <c r="AA165" s="4"/>
      <c r="AB165" s="4"/>
    </row>
    <row r="166" spans="1:29" x14ac:dyDescent="0.2">
      <c r="A166" s="4"/>
      <c r="B166" s="299"/>
      <c r="C166" s="299"/>
      <c r="D166" s="304" t="s">
        <v>68</v>
      </c>
      <c r="E166" s="304"/>
      <c r="F166" s="304"/>
      <c r="G166" s="304"/>
      <c r="H166" s="304"/>
      <c r="I166" s="304"/>
      <c r="J166" s="304"/>
      <c r="K166" s="304"/>
      <c r="L166" s="304"/>
      <c r="M166" s="304"/>
      <c r="N166" s="57" t="s">
        <v>69</v>
      </c>
      <c r="O166" s="93">
        <f>SUMPRODUCT(C92:C104,'Function Code Mapping'!$P$26:$P$38)</f>
        <v>47574.650084985835</v>
      </c>
      <c r="P166" s="93">
        <f>SUMPRODUCT(D92:D104,'Function Code Mapping'!$P$26:$P$38)</f>
        <v>33639.164967441859</v>
      </c>
      <c r="Q166" s="93">
        <f>SUMPRODUCT(E92:E104,'Function Code Mapping'!$P$26:$P$38)</f>
        <v>26611.929263351751</v>
      </c>
      <c r="R166" s="93">
        <f>SUMPRODUCT(F92:F104,'Function Code Mapping'!$P$26:$P$38)</f>
        <v>7645.5990969869927</v>
      </c>
      <c r="S166" s="93">
        <f ca="1">SUMPRODUCT(G92:G104,'Function Code Mapping'!$P$26:$P$38)</f>
        <v>28870.382753719612</v>
      </c>
      <c r="T166" s="93">
        <f ca="1">SUMPRODUCT(H92:H104,'Function Code Mapping'!$P$26:$P$38)</f>
        <v>28870.382753719612</v>
      </c>
      <c r="U166" s="93">
        <f ca="1">SUMPRODUCT(I92:I104,'Function Code Mapping'!$P$26:$P$38)</f>
        <v>16726.523000291359</v>
      </c>
      <c r="V166" s="93">
        <f ca="1">SUMPRODUCT(J92:J104,'Function Code Mapping'!$P$26:$P$38)</f>
        <v>28870.382753719612</v>
      </c>
      <c r="W166" s="93">
        <f ca="1">SUMPRODUCT(K92:K104,'Function Code Mapping'!$P$26:$P$38)</f>
        <v>28870.382753719612</v>
      </c>
      <c r="X166" s="93">
        <f ca="1">SUMPRODUCT(L92:L104,'Function Code Mapping'!$P$26:$P$38)</f>
        <v>28870.382753719612</v>
      </c>
      <c r="Y166" s="93">
        <f ca="1">SUMPRODUCT(M92:M104,'Function Code Mapping'!$P$26:$P$38)</f>
        <v>28870.382753719612</v>
      </c>
      <c r="Z166" s="143"/>
      <c r="AA166" s="4"/>
      <c r="AB166" s="4"/>
    </row>
    <row r="167" spans="1:29" x14ac:dyDescent="0.2">
      <c r="A167" s="4"/>
      <c r="B167" s="299"/>
      <c r="C167" s="299"/>
      <c r="D167" s="304" t="s">
        <v>70</v>
      </c>
      <c r="E167" s="304"/>
      <c r="F167" s="304"/>
      <c r="G167" s="304"/>
      <c r="H167" s="304"/>
      <c r="I167" s="304"/>
      <c r="J167" s="304"/>
      <c r="K167" s="304"/>
      <c r="L167" s="304"/>
      <c r="M167" s="304"/>
      <c r="N167" s="57" t="s">
        <v>71</v>
      </c>
      <c r="O167" s="93">
        <f>SUMPRODUCT(C92:C104,'Function Code Mapping'!$Q$26:$Q$38)</f>
        <v>0</v>
      </c>
      <c r="P167" s="93">
        <f>SUMPRODUCT(D92:D104,'Function Code Mapping'!$Q$26:$Q$38)</f>
        <v>0</v>
      </c>
      <c r="Q167" s="93">
        <f>SUMPRODUCT(E92:E104,'Function Code Mapping'!$Q$26:$Q$38)</f>
        <v>0</v>
      </c>
      <c r="R167" s="93">
        <f>SUMPRODUCT(F92:F104,'Function Code Mapping'!$Q$26:$Q$38)</f>
        <v>0</v>
      </c>
      <c r="S167" s="93">
        <f ca="1">SUMPRODUCT(G92:G104,'Function Code Mapping'!$Q$26:$Q$38)</f>
        <v>0</v>
      </c>
      <c r="T167" s="93">
        <f ca="1">SUMPRODUCT(H92:H104,'Function Code Mapping'!$Q$26:$Q$38)</f>
        <v>0</v>
      </c>
      <c r="U167" s="93">
        <f ca="1">SUMPRODUCT(I92:I104,'Function Code Mapping'!$Q$26:$Q$38)</f>
        <v>0</v>
      </c>
      <c r="V167" s="93">
        <f ca="1">SUMPRODUCT(J92:J104,'Function Code Mapping'!$Q$26:$Q$38)</f>
        <v>0</v>
      </c>
      <c r="W167" s="93">
        <f ca="1">SUMPRODUCT(K92:K104,'Function Code Mapping'!$Q$26:$Q$38)</f>
        <v>0</v>
      </c>
      <c r="X167" s="93">
        <f ca="1">SUMPRODUCT(L92:L104,'Function Code Mapping'!$Q$26:$Q$38)</f>
        <v>0</v>
      </c>
      <c r="Y167" s="93">
        <f ca="1">SUMPRODUCT(M92:M104,'Function Code Mapping'!$Q$26:$Q$38)</f>
        <v>0</v>
      </c>
      <c r="Z167" s="143"/>
      <c r="AA167" s="4"/>
      <c r="AB167" s="4"/>
    </row>
    <row r="168" spans="1:29" s="162" customFormat="1" ht="12.75" customHeight="1" x14ac:dyDescent="0.2">
      <c r="A168" s="143"/>
      <c r="B168" s="299" t="s">
        <v>335</v>
      </c>
      <c r="C168" s="299"/>
      <c r="D168" s="305" t="s">
        <v>305</v>
      </c>
      <c r="E168" s="306"/>
      <c r="F168" s="306"/>
      <c r="G168" s="306"/>
      <c r="H168" s="306"/>
      <c r="I168" s="306"/>
      <c r="J168" s="306"/>
      <c r="K168" s="306"/>
      <c r="L168" s="306"/>
      <c r="M168" s="307"/>
      <c r="N168" s="57"/>
      <c r="O168" s="93">
        <f t="shared" ref="O168:Y168" si="28">C103</f>
        <v>17486026.921775255</v>
      </c>
      <c r="P168" s="93">
        <f t="shared" si="28"/>
        <v>23497723.990251161</v>
      </c>
      <c r="Q168" s="93">
        <f t="shared" si="28"/>
        <v>26158466.429769799</v>
      </c>
      <c r="R168" s="93">
        <f t="shared" si="28"/>
        <v>25822969.680028953</v>
      </c>
      <c r="S168" s="93">
        <f t="shared" ca="1" si="28"/>
        <v>38666075.516518235</v>
      </c>
      <c r="T168" s="93">
        <f t="shared" ca="1" si="28"/>
        <v>33436897.70182927</v>
      </c>
      <c r="U168" s="93">
        <f t="shared" ca="1" si="28"/>
        <v>32407878.49624043</v>
      </c>
      <c r="V168" s="93">
        <f t="shared" ca="1" si="28"/>
        <v>35526856.7329382</v>
      </c>
      <c r="W168" s="93">
        <f t="shared" ca="1" si="28"/>
        <v>25411809.178524233</v>
      </c>
      <c r="X168" s="93">
        <f t="shared" ca="1" si="28"/>
        <v>25587590.114195231</v>
      </c>
      <c r="Y168" s="93">
        <f t="shared" ca="1" si="28"/>
        <v>25664016.607965227</v>
      </c>
      <c r="Z168" s="143"/>
      <c r="AA168" s="143"/>
      <c r="AB168" s="143"/>
    </row>
    <row r="169" spans="1:29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74" t="s">
        <v>36</v>
      </c>
      <c r="O169" s="90">
        <f t="shared" ref="O169:Y169" si="29">SUM(O154:O168)</f>
        <v>64486672.032795087</v>
      </c>
      <c r="P169" s="90">
        <f t="shared" si="29"/>
        <v>69334795.054325581</v>
      </c>
      <c r="Q169" s="90">
        <f t="shared" si="29"/>
        <v>76607042.8042081</v>
      </c>
      <c r="R169" s="90">
        <f t="shared" si="29"/>
        <v>85289687.063852102</v>
      </c>
      <c r="S169" s="90">
        <f t="shared" ca="1" si="29"/>
        <v>91020168.637342215</v>
      </c>
      <c r="T169" s="90">
        <f t="shared" ca="1" si="29"/>
        <v>86557125.659913242</v>
      </c>
      <c r="U169" s="90">
        <f t="shared" ca="1" si="29"/>
        <v>78208598.608199805</v>
      </c>
      <c r="V169" s="90">
        <f t="shared" ca="1" si="29"/>
        <v>83475251.508182764</v>
      </c>
      <c r="W169" s="90">
        <f t="shared" ca="1" si="29"/>
        <v>77323545.3147735</v>
      </c>
      <c r="X169" s="90">
        <f t="shared" ca="1" si="29"/>
        <v>75059961.806891978</v>
      </c>
      <c r="Y169" s="90">
        <f t="shared" ca="1" si="29"/>
        <v>75683706.330678552</v>
      </c>
      <c r="Z169" s="143"/>
      <c r="AA169" s="4"/>
      <c r="AB169" s="4"/>
    </row>
    <row r="170" spans="1:29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 t="s">
        <v>231</v>
      </c>
      <c r="O170" s="198">
        <f>O169-C105</f>
        <v>0</v>
      </c>
      <c r="P170" s="198">
        <f t="shared" ref="P170:Y170" si="30">P169-D105</f>
        <v>0</v>
      </c>
      <c r="Q170" s="198">
        <f t="shared" si="30"/>
        <v>0</v>
      </c>
      <c r="R170" s="198">
        <f t="shared" si="30"/>
        <v>0</v>
      </c>
      <c r="S170" s="198">
        <f t="shared" ca="1" si="30"/>
        <v>0</v>
      </c>
      <c r="T170" s="198">
        <f t="shared" ca="1" si="30"/>
        <v>0</v>
      </c>
      <c r="U170" s="198">
        <f t="shared" ca="1" si="30"/>
        <v>0</v>
      </c>
      <c r="V170" s="198">
        <f t="shared" ca="1" si="30"/>
        <v>0</v>
      </c>
      <c r="W170" s="198">
        <f t="shared" ca="1" si="30"/>
        <v>0</v>
      </c>
      <c r="X170" s="198">
        <f t="shared" ca="1" si="30"/>
        <v>0</v>
      </c>
      <c r="Y170" s="198">
        <f t="shared" ca="1" si="30"/>
        <v>0</v>
      </c>
      <c r="Z170" s="4"/>
      <c r="AA170" s="143"/>
      <c r="AB170" s="4"/>
      <c r="AC170" s="4"/>
    </row>
    <row r="171" spans="1:29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143"/>
      <c r="AB171" s="4"/>
      <c r="AC171" s="4"/>
    </row>
    <row r="172" spans="1:29" s="162" customFormat="1" x14ac:dyDescent="0.2">
      <c r="A172" s="143"/>
      <c r="B172" s="34" t="str">
        <f>"Forecast Expenditure by AER Category (Gross)"</f>
        <v>Forecast Expenditure by AER Category (Gross)</v>
      </c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  <c r="AA172" s="143"/>
      <c r="AB172" s="143"/>
      <c r="AC172" s="143"/>
    </row>
    <row r="173" spans="1:29" s="162" customFormat="1" x14ac:dyDescent="0.2">
      <c r="A173" s="143"/>
      <c r="B173" s="141" t="s">
        <v>178</v>
      </c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280" t="str">
        <f>"$ "&amp;Inflation!$D$4</f>
        <v>$ 2021</v>
      </c>
      <c r="P173" s="298"/>
      <c r="Q173" s="298"/>
      <c r="R173" s="298"/>
      <c r="S173" s="298"/>
      <c r="T173" s="298"/>
      <c r="U173" s="298"/>
      <c r="V173" s="298"/>
      <c r="W173" s="298"/>
      <c r="X173" s="298"/>
      <c r="Y173" s="282"/>
      <c r="Z173" s="143"/>
      <c r="AA173" s="143"/>
      <c r="AB173" s="143"/>
    </row>
    <row r="174" spans="1:29" s="162" customFormat="1" ht="25.5" customHeight="1" x14ac:dyDescent="0.2">
      <c r="A174" s="143"/>
      <c r="B174" s="291" t="s">
        <v>32</v>
      </c>
      <c r="C174" s="291"/>
      <c r="D174" s="302" t="s">
        <v>33</v>
      </c>
      <c r="E174" s="302"/>
      <c r="F174" s="302"/>
      <c r="G174" s="302"/>
      <c r="H174" s="302"/>
      <c r="I174" s="302"/>
      <c r="J174" s="302"/>
      <c r="K174" s="302"/>
      <c r="L174" s="302"/>
      <c r="M174" s="302"/>
      <c r="N174" s="163" t="s">
        <v>81</v>
      </c>
      <c r="O174" s="3" t="s">
        <v>325</v>
      </c>
      <c r="P174" s="3" t="s">
        <v>326</v>
      </c>
      <c r="Q174" s="3" t="s">
        <v>327</v>
      </c>
      <c r="R174" s="163" t="s">
        <v>328</v>
      </c>
      <c r="S174" s="163" t="s">
        <v>312</v>
      </c>
      <c r="T174" s="163" t="s">
        <v>313</v>
      </c>
      <c r="U174" s="163" t="s">
        <v>314</v>
      </c>
      <c r="V174" s="163" t="s">
        <v>315</v>
      </c>
      <c r="W174" s="163" t="s">
        <v>316</v>
      </c>
      <c r="X174" s="163" t="s">
        <v>317</v>
      </c>
      <c r="Y174" s="163" t="s">
        <v>318</v>
      </c>
      <c r="Z174" s="143"/>
      <c r="AA174" s="143"/>
      <c r="AB174" s="143"/>
    </row>
    <row r="175" spans="1:29" s="162" customFormat="1" x14ac:dyDescent="0.2">
      <c r="A175" s="143"/>
      <c r="B175" s="301" t="s">
        <v>44</v>
      </c>
      <c r="C175" s="301"/>
      <c r="D175" s="303" t="s">
        <v>45</v>
      </c>
      <c r="E175" s="303"/>
      <c r="F175" s="303"/>
      <c r="G175" s="303"/>
      <c r="H175" s="303"/>
      <c r="I175" s="303"/>
      <c r="J175" s="303"/>
      <c r="K175" s="303"/>
      <c r="L175" s="303"/>
      <c r="M175" s="303"/>
      <c r="N175" s="55" t="s">
        <v>46</v>
      </c>
      <c r="O175" s="92">
        <f>SUMPRODUCT(C113:C125,'Function Code Mapping'!$D$26:$D$38)</f>
        <v>0</v>
      </c>
      <c r="P175" s="92">
        <f>SUMPRODUCT(D113:D125,'Function Code Mapping'!$D$26:$D$38)</f>
        <v>0</v>
      </c>
      <c r="Q175" s="92">
        <f>SUMPRODUCT(E113:E125,'Function Code Mapping'!$D$26:$D$38)</f>
        <v>0</v>
      </c>
      <c r="R175" s="92">
        <f>SUMPRODUCT(F113:F125,'Function Code Mapping'!$D$26:$D$38)</f>
        <v>0</v>
      </c>
      <c r="S175" s="197">
        <f ca="1">SUMPRODUCT(G113:G125,'Function Code Mapping'!$D$26:$D$38)</f>
        <v>0</v>
      </c>
      <c r="T175" s="197">
        <f ca="1">SUMPRODUCT(H113:H125,'Function Code Mapping'!$D$26:$D$38)</f>
        <v>0</v>
      </c>
      <c r="U175" s="92">
        <f ca="1">SUMPRODUCT(I113:I125,'Function Code Mapping'!$D$26:$D$38)</f>
        <v>0</v>
      </c>
      <c r="V175" s="92">
        <f ca="1">SUMPRODUCT(J113:J125,'Function Code Mapping'!$D$26:$D$38)</f>
        <v>0</v>
      </c>
      <c r="W175" s="92">
        <f ca="1">SUMPRODUCT(K113:K125,'Function Code Mapping'!$D$26:$D$38)</f>
        <v>0</v>
      </c>
      <c r="X175" s="92">
        <f ca="1">SUMPRODUCT(L113:L125,'Function Code Mapping'!$D$26:$D$38)</f>
        <v>0</v>
      </c>
      <c r="Y175" s="92">
        <f ca="1">SUMPRODUCT(M113:M125,'Function Code Mapping'!$D$26:$D$38)</f>
        <v>0</v>
      </c>
      <c r="Z175" s="143"/>
      <c r="AA175" s="143"/>
      <c r="AB175" s="143"/>
    </row>
    <row r="176" spans="1:29" s="162" customFormat="1" x14ac:dyDescent="0.2">
      <c r="A176" s="143"/>
      <c r="B176" s="301"/>
      <c r="C176" s="301"/>
      <c r="D176" s="303" t="s">
        <v>47</v>
      </c>
      <c r="E176" s="303"/>
      <c r="F176" s="303"/>
      <c r="G176" s="303"/>
      <c r="H176" s="303"/>
      <c r="I176" s="303"/>
      <c r="J176" s="303"/>
      <c r="K176" s="303"/>
      <c r="L176" s="303"/>
      <c r="M176" s="303"/>
      <c r="N176" s="55" t="s">
        <v>48</v>
      </c>
      <c r="O176" s="93">
        <f>SUMPRODUCT(C113:C125,'Function Code Mapping'!$E$26:$E$38)</f>
        <v>10315698.941211054</v>
      </c>
      <c r="P176" s="93">
        <f>SUMPRODUCT(D113:D125,'Function Code Mapping'!$E$26:$E$38)</f>
        <v>13459321.308482327</v>
      </c>
      <c r="Q176" s="93">
        <f>SUMPRODUCT(E113:E125,'Function Code Mapping'!$E$26:$E$38)</f>
        <v>15412739.860019337</v>
      </c>
      <c r="R176" s="93">
        <f>SUMPRODUCT(F113:F125,'Function Code Mapping'!$E$26:$E$38)</f>
        <v>18097783.163697463</v>
      </c>
      <c r="S176" s="93">
        <f ca="1">SUMPRODUCT(G113:G125,'Function Code Mapping'!$E$26:$E$38)</f>
        <v>15255998.91464629</v>
      </c>
      <c r="T176" s="93">
        <f ca="1">SUMPRODUCT(H113:H125,'Function Code Mapping'!$E$26:$E$38)</f>
        <v>14846865.65079543</v>
      </c>
      <c r="U176" s="93">
        <f ca="1">SUMPRODUCT(I113:I125,'Function Code Mapping'!$E$26:$E$38)</f>
        <v>11545148.588481465</v>
      </c>
      <c r="V176" s="93">
        <f ca="1">SUMPRODUCT(J113:J125,'Function Code Mapping'!$E$26:$E$38)</f>
        <v>13880311.609400682</v>
      </c>
      <c r="W176" s="93">
        <f ca="1">SUMPRODUCT(K113:K125,'Function Code Mapping'!$E$26:$E$38)</f>
        <v>14001520.043966305</v>
      </c>
      <c r="X176" s="93">
        <f ca="1">SUMPRODUCT(L113:L125,'Function Code Mapping'!$E$26:$E$38)</f>
        <v>14553632.827633094</v>
      </c>
      <c r="Y176" s="93">
        <f ca="1">SUMPRODUCT(M113:M125,'Function Code Mapping'!$E$26:$E$38)</f>
        <v>14729347.933618141</v>
      </c>
      <c r="Z176" s="143"/>
      <c r="AA176" s="143"/>
      <c r="AB176" s="143"/>
    </row>
    <row r="177" spans="1:29" s="162" customFormat="1" x14ac:dyDescent="0.2">
      <c r="A177" s="143"/>
      <c r="B177" s="301"/>
      <c r="C177" s="301"/>
      <c r="D177" s="303" t="s">
        <v>49</v>
      </c>
      <c r="E177" s="303"/>
      <c r="F177" s="303"/>
      <c r="G177" s="303"/>
      <c r="H177" s="303"/>
      <c r="I177" s="303"/>
      <c r="J177" s="303"/>
      <c r="K177" s="303"/>
      <c r="L177" s="303"/>
      <c r="M177" s="303"/>
      <c r="N177" s="55" t="s">
        <v>50</v>
      </c>
      <c r="O177" s="93">
        <f>SUMPRODUCT(C113:C125,'Function Code Mapping'!$F$26:$F$38)</f>
        <v>22647876.44063456</v>
      </c>
      <c r="P177" s="93">
        <f>SUMPRODUCT(D113:D125,'Function Code Mapping'!$F$26:$F$38)</f>
        <v>19241874.787142325</v>
      </c>
      <c r="Q177" s="93">
        <f>SUMPRODUCT(E113:E125,'Function Code Mapping'!$F$26:$F$38)</f>
        <v>21845814.742361419</v>
      </c>
      <c r="R177" s="93">
        <f>SUMPRODUCT(F113:F125,'Function Code Mapping'!$F$26:$F$38)</f>
        <v>25360881.914046422</v>
      </c>
      <c r="S177" s="93">
        <f ca="1">SUMPRODUCT(G113:G125,'Function Code Mapping'!$F$26:$F$38)</f>
        <v>22245145.208480477</v>
      </c>
      <c r="T177" s="93">
        <f ca="1">SUMPRODUCT(H113:H125,'Function Code Mapping'!$F$26:$F$38)</f>
        <v>21028238.08135841</v>
      </c>
      <c r="U177" s="93">
        <f ca="1">SUMPRODUCT(I113:I125,'Function Code Mapping'!$F$26:$F$38)</f>
        <v>20238571.96054307</v>
      </c>
      <c r="V177" s="93">
        <f ca="1">SUMPRODUCT(J113:J125,'Function Code Mapping'!$F$26:$F$38)</f>
        <v>19319815.240840696</v>
      </c>
      <c r="W177" s="93">
        <f ca="1">SUMPRODUCT(K113:K125,'Function Code Mapping'!$F$26:$F$38)</f>
        <v>20446613.373872083</v>
      </c>
      <c r="X177" s="93">
        <f ca="1">SUMPRODUCT(L113:L125,'Function Code Mapping'!$F$26:$F$38)</f>
        <v>21383292.265088283</v>
      </c>
      <c r="Y177" s="93">
        <f ca="1">SUMPRODUCT(M113:M125,'Function Code Mapping'!$F$26:$F$38)</f>
        <v>21623861.568305954</v>
      </c>
      <c r="Z177" s="143"/>
      <c r="AA177" s="143"/>
      <c r="AB177" s="143"/>
    </row>
    <row r="178" spans="1:29" s="162" customFormat="1" x14ac:dyDescent="0.2">
      <c r="A178" s="143"/>
      <c r="B178" s="300" t="s">
        <v>177</v>
      </c>
      <c r="C178" s="300"/>
      <c r="D178" s="304" t="s">
        <v>45</v>
      </c>
      <c r="E178" s="304"/>
      <c r="F178" s="304"/>
      <c r="G178" s="304"/>
      <c r="H178" s="304"/>
      <c r="I178" s="304"/>
      <c r="J178" s="304"/>
      <c r="K178" s="304"/>
      <c r="L178" s="304"/>
      <c r="M178" s="304"/>
      <c r="N178" s="56" t="s">
        <v>51</v>
      </c>
      <c r="O178" s="93">
        <f>SUMPRODUCT(C113:C125,'Function Code Mapping'!$G$26:$G$38)</f>
        <v>1760123.3406288964</v>
      </c>
      <c r="P178" s="93">
        <f>SUMPRODUCT(D113:D125,'Function Code Mapping'!$G$26:$G$38)</f>
        <v>1831118.4145832558</v>
      </c>
      <c r="Q178" s="93">
        <f>SUMPRODUCT(E113:E125,'Function Code Mapping'!$G$26:$G$38)</f>
        <v>2117728.3904083795</v>
      </c>
      <c r="R178" s="93">
        <f>SUMPRODUCT(F113:F125,'Function Code Mapping'!$G$26:$G$38)</f>
        <v>2455314.1859181095</v>
      </c>
      <c r="S178" s="93">
        <f ca="1">SUMPRODUCT(G113:G125,'Function Code Mapping'!$G$26:$G$38)</f>
        <v>2042119.1976484128</v>
      </c>
      <c r="T178" s="208">
        <f ca="1">SUMPRODUCT(H113:H125,'Function Code Mapping'!$G$26:$G$38)</f>
        <v>2002600.2467672369</v>
      </c>
      <c r="U178" s="93">
        <f ca="1">SUMPRODUCT(I113:I125,'Function Code Mapping'!$G$26:$G$38)</f>
        <v>1778108.2695823107</v>
      </c>
      <c r="V178" s="93">
        <f ca="1">SUMPRODUCT(J113:J125,'Function Code Mapping'!$G$26:$G$38)</f>
        <v>1751034.3980897632</v>
      </c>
      <c r="W178" s="93">
        <f ca="1">SUMPRODUCT(K113:K125,'Function Code Mapping'!$G$26:$G$38)</f>
        <v>1754684.7173203202</v>
      </c>
      <c r="X178" s="93">
        <f ca="1">SUMPRODUCT(L113:L125,'Function Code Mapping'!$G$26:$G$38)</f>
        <v>1861926.2579943426</v>
      </c>
      <c r="Y178" s="93">
        <f ca="1">SUMPRODUCT(M113:M125,'Function Code Mapping'!$G$26:$G$38)</f>
        <v>1891732.7163470718</v>
      </c>
      <c r="Z178" s="143"/>
      <c r="AA178" s="143"/>
      <c r="AB178" s="143"/>
    </row>
    <row r="179" spans="1:29" s="162" customFormat="1" x14ac:dyDescent="0.2">
      <c r="A179" s="143"/>
      <c r="B179" s="300"/>
      <c r="C179" s="300"/>
      <c r="D179" s="304" t="s">
        <v>52</v>
      </c>
      <c r="E179" s="304"/>
      <c r="F179" s="304"/>
      <c r="G179" s="304"/>
      <c r="H179" s="304"/>
      <c r="I179" s="304"/>
      <c r="J179" s="304"/>
      <c r="K179" s="304"/>
      <c r="L179" s="304"/>
      <c r="M179" s="304"/>
      <c r="N179" s="56" t="s">
        <v>53</v>
      </c>
      <c r="O179" s="93">
        <f>SUMPRODUCT(C113:C125,'Function Code Mapping'!$H$26:$H$38)</f>
        <v>0</v>
      </c>
      <c r="P179" s="93">
        <f>SUMPRODUCT(D113:D125,'Function Code Mapping'!$H$26:$H$38)</f>
        <v>0</v>
      </c>
      <c r="Q179" s="93">
        <f>SUMPRODUCT(E113:E125,'Function Code Mapping'!$H$26:$H$38)</f>
        <v>0</v>
      </c>
      <c r="R179" s="93">
        <f>SUMPRODUCT(F113:F125,'Function Code Mapping'!$H$26:$H$38)</f>
        <v>0</v>
      </c>
      <c r="S179" s="93">
        <f ca="1">SUMPRODUCT(G113:G125,'Function Code Mapping'!$H$26:$H$38)</f>
        <v>0</v>
      </c>
      <c r="T179" s="93">
        <f ca="1">SUMPRODUCT(H113:H125,'Function Code Mapping'!$H$26:$H$38)</f>
        <v>0</v>
      </c>
      <c r="U179" s="93">
        <f ca="1">SUMPRODUCT(I113:I125,'Function Code Mapping'!$H$26:$H$38)</f>
        <v>0</v>
      </c>
      <c r="V179" s="93">
        <f ca="1">SUMPRODUCT(J113:J125,'Function Code Mapping'!$H$26:$H$38)</f>
        <v>0</v>
      </c>
      <c r="W179" s="93">
        <f ca="1">SUMPRODUCT(K113:K125,'Function Code Mapping'!$H$26:$H$38)</f>
        <v>0</v>
      </c>
      <c r="X179" s="93">
        <f ca="1">SUMPRODUCT(L113:L125,'Function Code Mapping'!$H$26:$H$38)</f>
        <v>0</v>
      </c>
      <c r="Y179" s="93">
        <f ca="1">SUMPRODUCT(M113:M125,'Function Code Mapping'!$H$26:$H$38)</f>
        <v>0</v>
      </c>
      <c r="Z179" s="143"/>
      <c r="AA179" s="143"/>
      <c r="AB179" s="143"/>
    </row>
    <row r="180" spans="1:29" s="162" customFormat="1" x14ac:dyDescent="0.2">
      <c r="A180" s="143"/>
      <c r="B180" s="300"/>
      <c r="C180" s="300"/>
      <c r="D180" s="304" t="s">
        <v>54</v>
      </c>
      <c r="E180" s="304"/>
      <c r="F180" s="304"/>
      <c r="G180" s="304"/>
      <c r="H180" s="304"/>
      <c r="I180" s="304"/>
      <c r="J180" s="304"/>
      <c r="K180" s="304"/>
      <c r="L180" s="304"/>
      <c r="M180" s="304"/>
      <c r="N180" s="56" t="s">
        <v>55</v>
      </c>
      <c r="O180" s="93">
        <f>SUMPRODUCT(C113:C125,'Function Code Mapping'!$I$26:$I$38)</f>
        <v>9522619.2252875343</v>
      </c>
      <c r="P180" s="93">
        <f>SUMPRODUCT(D113:D125,'Function Code Mapping'!$I$26:$I$38)</f>
        <v>8122158.7749269772</v>
      </c>
      <c r="Q180" s="93">
        <f>SUMPRODUCT(E113:E125,'Function Code Mapping'!$I$26:$I$38)</f>
        <v>9230489.2920359112</v>
      </c>
      <c r="R180" s="93">
        <f>SUMPRODUCT(F113:F125,'Function Code Mapping'!$I$26:$I$38)</f>
        <v>10753113.181580342</v>
      </c>
      <c r="S180" s="93">
        <f ca="1">SUMPRODUCT(G113:G125,'Function Code Mapping'!$I$26:$I$38)</f>
        <v>9395065.2755913008</v>
      </c>
      <c r="T180" s="93">
        <f ca="1">SUMPRODUCT(H113:H125,'Function Code Mapping'!$I$26:$I$38)</f>
        <v>8863478.5463142339</v>
      </c>
      <c r="U180" s="93">
        <f ca="1">SUMPRODUCT(I113:I125,'Function Code Mapping'!$I$26:$I$38)</f>
        <v>8510607.210278444</v>
      </c>
      <c r="V180" s="93">
        <f ca="1">SUMPRODUCT(J113:J125,'Function Code Mapping'!$I$26:$I$38)</f>
        <v>8098545.2398255775</v>
      </c>
      <c r="W180" s="93">
        <f ca="1">SUMPRODUCT(K113:K125,'Function Code Mapping'!$I$26:$I$38)</f>
        <v>8588634.8458496183</v>
      </c>
      <c r="X180" s="93">
        <f ca="1">SUMPRODUCT(L113:L125,'Function Code Mapping'!$I$26:$I$38)</f>
        <v>8996426.9230462871</v>
      </c>
      <c r="Y180" s="93">
        <f ca="1">SUMPRODUCT(M113:M125,'Function Code Mapping'!$I$26:$I$38)</f>
        <v>9097654.0855074171</v>
      </c>
      <c r="Z180" s="143"/>
      <c r="AA180" s="143"/>
      <c r="AB180" s="143"/>
    </row>
    <row r="181" spans="1:29" s="162" customFormat="1" x14ac:dyDescent="0.2">
      <c r="A181" s="143"/>
      <c r="B181" s="300"/>
      <c r="C181" s="300"/>
      <c r="D181" s="304" t="s">
        <v>56</v>
      </c>
      <c r="E181" s="304"/>
      <c r="F181" s="304"/>
      <c r="G181" s="304"/>
      <c r="H181" s="304"/>
      <c r="I181" s="304"/>
      <c r="J181" s="304"/>
      <c r="K181" s="304"/>
      <c r="L181" s="304"/>
      <c r="M181" s="304"/>
      <c r="N181" s="56" t="s">
        <v>57</v>
      </c>
      <c r="O181" s="93">
        <f>SUMPRODUCT(C113:C125,'Function Code Mapping'!$J$26:$J$38)</f>
        <v>3130443.0489423983</v>
      </c>
      <c r="P181" s="93">
        <f>SUMPRODUCT(D113:D125,'Function Code Mapping'!$J$26:$J$38)</f>
        <v>3500728.9769395352</v>
      </c>
      <c r="Q181" s="93">
        <f>SUMPRODUCT(E113:E125,'Function Code Mapping'!$J$26:$J$38)</f>
        <v>2031751.7517403318</v>
      </c>
      <c r="R181" s="93">
        <f>SUMPRODUCT(F113:F125,'Function Code Mapping'!$J$26:$J$38)</f>
        <v>2922475.2002105257</v>
      </c>
      <c r="S181" s="93">
        <f ca="1">SUMPRODUCT(G113:G125,'Function Code Mapping'!$J$26:$J$38)</f>
        <v>3632899.0485023484</v>
      </c>
      <c r="T181" s="93">
        <f ca="1">SUMPRODUCT(H113:H125,'Function Code Mapping'!$J$26:$J$38)</f>
        <v>6596179.9568935139</v>
      </c>
      <c r="U181" s="93">
        <f ca="1">SUMPRODUCT(I113:I125,'Function Code Mapping'!$J$26:$J$38)</f>
        <v>3972822.604426322</v>
      </c>
      <c r="V181" s="93">
        <f ca="1">SUMPRODUCT(J113:J125,'Function Code Mapping'!$J$26:$J$38)</f>
        <v>5115822.811132703</v>
      </c>
      <c r="W181" s="93">
        <f ca="1">SUMPRODUCT(K113:K125,'Function Code Mapping'!$J$26:$J$38)</f>
        <v>7337417.6792857982</v>
      </c>
      <c r="X181" s="93">
        <f ca="1">SUMPRODUCT(L113:L125,'Function Code Mapping'!$J$26:$J$38)</f>
        <v>2894227.9429796073</v>
      </c>
      <c r="Y181" s="93">
        <f ca="1">SUMPRODUCT(M113:M125,'Function Code Mapping'!$J$26:$J$38)</f>
        <v>2894227.9429796073</v>
      </c>
      <c r="Z181" s="143"/>
      <c r="AA181" s="143"/>
      <c r="AB181" s="143"/>
    </row>
    <row r="182" spans="1:29" s="162" customFormat="1" x14ac:dyDescent="0.2">
      <c r="A182" s="143"/>
      <c r="B182" s="300"/>
      <c r="C182" s="300"/>
      <c r="D182" s="304" t="s">
        <v>58</v>
      </c>
      <c r="E182" s="304"/>
      <c r="F182" s="304"/>
      <c r="G182" s="304"/>
      <c r="H182" s="304"/>
      <c r="I182" s="304"/>
      <c r="J182" s="304"/>
      <c r="K182" s="304"/>
      <c r="L182" s="304"/>
      <c r="M182" s="304"/>
      <c r="N182" s="56" t="s">
        <v>59</v>
      </c>
      <c r="O182" s="93">
        <f>SUMPRODUCT(C113:C125,'Function Code Mapping'!$K$26:$K$38)</f>
        <v>0</v>
      </c>
      <c r="P182" s="93">
        <f>SUMPRODUCT(D113:D125,'Function Code Mapping'!$K$26:$K$38)</f>
        <v>0</v>
      </c>
      <c r="Q182" s="93">
        <f>SUMPRODUCT(E113:E125,'Function Code Mapping'!$K$26:$K$38)</f>
        <v>0</v>
      </c>
      <c r="R182" s="93">
        <f>SUMPRODUCT(F113:F125,'Function Code Mapping'!$K$26:$K$38)</f>
        <v>0</v>
      </c>
      <c r="S182" s="93">
        <f ca="1">SUMPRODUCT(G113:G125,'Function Code Mapping'!$K$26:$K$38)</f>
        <v>0</v>
      </c>
      <c r="T182" s="93">
        <f ca="1">SUMPRODUCT(H113:H125,'Function Code Mapping'!$K$26:$K$38)</f>
        <v>0</v>
      </c>
      <c r="U182" s="93">
        <f ca="1">SUMPRODUCT(I113:I125,'Function Code Mapping'!$K$26:$K$38)</f>
        <v>0</v>
      </c>
      <c r="V182" s="93">
        <f ca="1">SUMPRODUCT(J113:J125,'Function Code Mapping'!$K$26:$K$38)</f>
        <v>0</v>
      </c>
      <c r="W182" s="93">
        <f ca="1">SUMPRODUCT(K113:K125,'Function Code Mapping'!$K$26:$K$38)</f>
        <v>0</v>
      </c>
      <c r="X182" s="93">
        <f ca="1">SUMPRODUCT(L113:L125,'Function Code Mapping'!$K$26:$K$38)</f>
        <v>0</v>
      </c>
      <c r="Y182" s="93">
        <f ca="1">SUMPRODUCT(M113:M125,'Function Code Mapping'!$K$26:$K$38)</f>
        <v>0</v>
      </c>
      <c r="Z182" s="143"/>
      <c r="AA182" s="143"/>
      <c r="AB182" s="143"/>
    </row>
    <row r="183" spans="1:29" s="162" customFormat="1" x14ac:dyDescent="0.2">
      <c r="A183" s="143"/>
      <c r="B183" s="301" t="s">
        <v>60</v>
      </c>
      <c r="C183" s="301"/>
      <c r="D183" s="303" t="s">
        <v>47</v>
      </c>
      <c r="E183" s="303"/>
      <c r="F183" s="303"/>
      <c r="G183" s="303"/>
      <c r="H183" s="303"/>
      <c r="I183" s="303"/>
      <c r="J183" s="303"/>
      <c r="K183" s="303"/>
      <c r="L183" s="303"/>
      <c r="M183" s="303"/>
      <c r="N183" s="55" t="s">
        <v>61</v>
      </c>
      <c r="O183" s="93">
        <f>SUMPRODUCT(C113:C125,'Function Code Mapping'!$L$26:$L$38)</f>
        <v>0</v>
      </c>
      <c r="P183" s="93">
        <f>SUMPRODUCT(D113:D125,'Function Code Mapping'!$L$26:$L$38)</f>
        <v>0</v>
      </c>
      <c r="Q183" s="93">
        <f>SUMPRODUCT(E113:E125,'Function Code Mapping'!$L$26:$L$38)</f>
        <v>0</v>
      </c>
      <c r="R183" s="93">
        <f>SUMPRODUCT(F113:F125,'Function Code Mapping'!$L$26:$L$38)</f>
        <v>0</v>
      </c>
      <c r="S183" s="93">
        <f ca="1">SUMPRODUCT(G113:G125,'Function Code Mapping'!$L$26:$L$38)</f>
        <v>0</v>
      </c>
      <c r="T183" s="93">
        <f ca="1">SUMPRODUCT(H113:H125,'Function Code Mapping'!$L$26:$L$38)</f>
        <v>0</v>
      </c>
      <c r="U183" s="93">
        <f ca="1">SUMPRODUCT(I113:I125,'Function Code Mapping'!$L$26:$L$38)</f>
        <v>0</v>
      </c>
      <c r="V183" s="93">
        <f ca="1">SUMPRODUCT(J113:J125,'Function Code Mapping'!$L$26:$L$38)</f>
        <v>0</v>
      </c>
      <c r="W183" s="93">
        <f ca="1">SUMPRODUCT(K113:K125,'Function Code Mapping'!$L$26:$L$38)</f>
        <v>0</v>
      </c>
      <c r="X183" s="93">
        <f ca="1">SUMPRODUCT(L113:L125,'Function Code Mapping'!$L$26:$L$38)</f>
        <v>0</v>
      </c>
      <c r="Y183" s="93">
        <f ca="1">SUMPRODUCT(M113:M125,'Function Code Mapping'!$L$26:$L$38)</f>
        <v>0</v>
      </c>
      <c r="Z183" s="143"/>
      <c r="AA183" s="143"/>
      <c r="AB183" s="143"/>
    </row>
    <row r="184" spans="1:29" s="162" customFormat="1" x14ac:dyDescent="0.2">
      <c r="A184" s="143"/>
      <c r="B184" s="301"/>
      <c r="C184" s="301"/>
      <c r="D184" s="303" t="s">
        <v>62</v>
      </c>
      <c r="E184" s="303"/>
      <c r="F184" s="303"/>
      <c r="G184" s="303"/>
      <c r="H184" s="303"/>
      <c r="I184" s="303"/>
      <c r="J184" s="303"/>
      <c r="K184" s="303"/>
      <c r="L184" s="303"/>
      <c r="M184" s="303"/>
      <c r="N184" s="55" t="s">
        <v>63</v>
      </c>
      <c r="O184" s="93">
        <f>SUMPRODUCT(C113:C125,'Function Code Mapping'!$M$26:$M$38)</f>
        <v>0</v>
      </c>
      <c r="P184" s="93">
        <f>SUMPRODUCT(D113:D125,'Function Code Mapping'!$M$26:$M$38)</f>
        <v>0</v>
      </c>
      <c r="Q184" s="93">
        <f>SUMPRODUCT(E113:E125,'Function Code Mapping'!$M$26:$M$38)</f>
        <v>0</v>
      </c>
      <c r="R184" s="93">
        <f>SUMPRODUCT(F113:F125,'Function Code Mapping'!$M$26:$M$38)</f>
        <v>0</v>
      </c>
      <c r="S184" s="93">
        <f ca="1">SUMPRODUCT(G113:G125,'Function Code Mapping'!$M$26:$M$38)</f>
        <v>0</v>
      </c>
      <c r="T184" s="93">
        <f ca="1">SUMPRODUCT(H113:H125,'Function Code Mapping'!$M$26:$M$38)</f>
        <v>0</v>
      </c>
      <c r="U184" s="93">
        <f ca="1">SUMPRODUCT(I113:I125,'Function Code Mapping'!$M$26:$M$38)</f>
        <v>0</v>
      </c>
      <c r="V184" s="93">
        <f ca="1">SUMPRODUCT(J113:J125,'Function Code Mapping'!$M$26:$M$38)</f>
        <v>0</v>
      </c>
      <c r="W184" s="93">
        <f ca="1">SUMPRODUCT(K113:K125,'Function Code Mapping'!$M$26:$M$38)</f>
        <v>0</v>
      </c>
      <c r="X184" s="93">
        <f ca="1">SUMPRODUCT(L113:L125,'Function Code Mapping'!$M$26:$M$38)</f>
        <v>0</v>
      </c>
      <c r="Y184" s="93">
        <f ca="1">SUMPRODUCT(M113:M125,'Function Code Mapping'!$M$26:$M$38)</f>
        <v>0</v>
      </c>
      <c r="Z184" s="143"/>
      <c r="AA184" s="143"/>
      <c r="AB184" s="143"/>
    </row>
    <row r="185" spans="1:29" s="162" customFormat="1" x14ac:dyDescent="0.2">
      <c r="A185" s="143"/>
      <c r="B185" s="301"/>
      <c r="C185" s="301"/>
      <c r="D185" s="303" t="s">
        <v>64</v>
      </c>
      <c r="E185" s="303"/>
      <c r="F185" s="303"/>
      <c r="G185" s="303"/>
      <c r="H185" s="303"/>
      <c r="I185" s="303"/>
      <c r="J185" s="303"/>
      <c r="K185" s="303"/>
      <c r="L185" s="303"/>
      <c r="M185" s="303"/>
      <c r="N185" s="55" t="s">
        <v>65</v>
      </c>
      <c r="O185" s="93">
        <f>SUMPRODUCT(C113:C125,'Function Code Mapping'!$N$26:$N$38)</f>
        <v>21782.29898016997</v>
      </c>
      <c r="P185" s="93">
        <f>SUMPRODUCT(D113:D125,'Function Code Mapping'!$N$26:$N$38)</f>
        <v>74557.168195348844</v>
      </c>
      <c r="Q185" s="93">
        <f>SUMPRODUCT(E113:E125,'Function Code Mapping'!$N$26:$N$38)</f>
        <v>84302.110267031821</v>
      </c>
      <c r="R185" s="93">
        <f>SUMPRODUCT(F113:F125,'Function Code Mapping'!$N$26:$N$38)</f>
        <v>15101.097976513101</v>
      </c>
      <c r="S185" s="93">
        <f ca="1">SUMPRODUCT(G113:G125,'Function Code Mapping'!$N$26:$N$38)</f>
        <v>44923.823709242883</v>
      </c>
      <c r="T185" s="93">
        <f ca="1">SUMPRODUCT(H113:H125,'Function Code Mapping'!$N$26:$N$38)</f>
        <v>44923.823709242883</v>
      </c>
      <c r="U185" s="93">
        <f ca="1">SUMPRODUCT(I113:I125,'Function Code Mapping'!$N$26:$N$38)</f>
        <v>26027.343556325864</v>
      </c>
      <c r="V185" s="93">
        <f ca="1">SUMPRODUCT(J113:J125,'Function Code Mapping'!$N$26:$N$38)</f>
        <v>44923.823709242883</v>
      </c>
      <c r="W185" s="93">
        <f ca="1">SUMPRODUCT(K113:K125,'Function Code Mapping'!$N$26:$N$38)</f>
        <v>44923.823709242883</v>
      </c>
      <c r="X185" s="93">
        <f ca="1">SUMPRODUCT(L113:L125,'Function Code Mapping'!$N$26:$N$38)</f>
        <v>44923.823709242883</v>
      </c>
      <c r="Y185" s="93">
        <f ca="1">SUMPRODUCT(M113:M125,'Function Code Mapping'!$N$26:$N$38)</f>
        <v>44923.823709242883</v>
      </c>
      <c r="Z185" s="143"/>
      <c r="AA185" s="143"/>
      <c r="AB185" s="143"/>
    </row>
    <row r="186" spans="1:29" s="162" customFormat="1" x14ac:dyDescent="0.2">
      <c r="A186" s="143"/>
      <c r="B186" s="299" t="s">
        <v>66</v>
      </c>
      <c r="C186" s="299"/>
      <c r="D186" s="304" t="s">
        <v>45</v>
      </c>
      <c r="E186" s="304"/>
      <c r="F186" s="304"/>
      <c r="G186" s="304"/>
      <c r="H186" s="304"/>
      <c r="I186" s="304"/>
      <c r="J186" s="304"/>
      <c r="K186" s="304"/>
      <c r="L186" s="304"/>
      <c r="M186" s="304"/>
      <c r="N186" s="57" t="s">
        <v>67</v>
      </c>
      <c r="O186" s="93">
        <f>SUMPRODUCT(C113:C125,'Function Code Mapping'!$O$26:$O$38)</f>
        <v>0</v>
      </c>
      <c r="P186" s="93">
        <f>SUMPRODUCT(D113:D125,'Function Code Mapping'!$O$26:$O$38)</f>
        <v>0</v>
      </c>
      <c r="Q186" s="93">
        <f>SUMPRODUCT(E113:E125,'Function Code Mapping'!$O$26:$O$38)</f>
        <v>0</v>
      </c>
      <c r="R186" s="93">
        <f>SUMPRODUCT(F113:F125,'Function Code Mapping'!$O$26:$O$38)</f>
        <v>0</v>
      </c>
      <c r="S186" s="93">
        <f ca="1">SUMPRODUCT(G113:G125,'Function Code Mapping'!$O$26:$O$38)</f>
        <v>0</v>
      </c>
      <c r="T186" s="93">
        <f ca="1">SUMPRODUCT(H113:H125,'Function Code Mapping'!$O$26:$O$38)</f>
        <v>0</v>
      </c>
      <c r="U186" s="93">
        <f ca="1">SUMPRODUCT(I113:I125,'Function Code Mapping'!$O$26:$O$38)</f>
        <v>0</v>
      </c>
      <c r="V186" s="93">
        <f ca="1">SUMPRODUCT(J113:J125,'Function Code Mapping'!$O$26:$O$38)</f>
        <v>0</v>
      </c>
      <c r="W186" s="93">
        <f ca="1">SUMPRODUCT(K113:K125,'Function Code Mapping'!$O$26:$O$38)</f>
        <v>0</v>
      </c>
      <c r="X186" s="93">
        <f ca="1">SUMPRODUCT(L113:L125,'Function Code Mapping'!$O$26:$O$38)</f>
        <v>0</v>
      </c>
      <c r="Y186" s="93">
        <f ca="1">SUMPRODUCT(M113:M125,'Function Code Mapping'!$O$26:$O$38)</f>
        <v>0</v>
      </c>
      <c r="Z186" s="143"/>
      <c r="AA186" s="143"/>
      <c r="AB186" s="143"/>
    </row>
    <row r="187" spans="1:29" s="162" customFormat="1" x14ac:dyDescent="0.2">
      <c r="A187" s="143"/>
      <c r="B187" s="299"/>
      <c r="C187" s="299"/>
      <c r="D187" s="304" t="s">
        <v>68</v>
      </c>
      <c r="E187" s="304"/>
      <c r="F187" s="304"/>
      <c r="G187" s="304"/>
      <c r="H187" s="304"/>
      <c r="I187" s="304"/>
      <c r="J187" s="304"/>
      <c r="K187" s="304"/>
      <c r="L187" s="304"/>
      <c r="M187" s="304"/>
      <c r="N187" s="57" t="s">
        <v>69</v>
      </c>
      <c r="O187" s="93">
        <f>SUMPRODUCT(C113:C125,'Function Code Mapping'!$P$26:$P$38)</f>
        <v>47574.650084985835</v>
      </c>
      <c r="P187" s="93">
        <f>SUMPRODUCT(D113:D125,'Function Code Mapping'!$P$26:$P$38)</f>
        <v>33639.164967441859</v>
      </c>
      <c r="Q187" s="93">
        <f>SUMPRODUCT(E113:E125,'Function Code Mapping'!$P$26:$P$38)</f>
        <v>26611.929263351751</v>
      </c>
      <c r="R187" s="93">
        <f>SUMPRODUCT(F113:F125,'Function Code Mapping'!$P$26:$P$38)</f>
        <v>7645.5990969869927</v>
      </c>
      <c r="S187" s="93">
        <f ca="1">SUMPRODUCT(G113:G125,'Function Code Mapping'!$P$26:$P$38)</f>
        <v>28870.382753719612</v>
      </c>
      <c r="T187" s="93">
        <f ca="1">SUMPRODUCT(H113:H125,'Function Code Mapping'!$P$26:$P$38)</f>
        <v>28870.382753719612</v>
      </c>
      <c r="U187" s="93">
        <f ca="1">SUMPRODUCT(I113:I125,'Function Code Mapping'!$P$26:$P$38)</f>
        <v>16726.523000291359</v>
      </c>
      <c r="V187" s="93">
        <f ca="1">SUMPRODUCT(J113:J125,'Function Code Mapping'!$P$26:$P$38)</f>
        <v>28870.382753719612</v>
      </c>
      <c r="W187" s="93">
        <f ca="1">SUMPRODUCT(K113:K125,'Function Code Mapping'!$P$26:$P$38)</f>
        <v>28870.382753719612</v>
      </c>
      <c r="X187" s="93">
        <f ca="1">SUMPRODUCT(L113:L125,'Function Code Mapping'!$P$26:$P$38)</f>
        <v>28870.382753719612</v>
      </c>
      <c r="Y187" s="93">
        <f ca="1">SUMPRODUCT(M113:M125,'Function Code Mapping'!$P$26:$P$38)</f>
        <v>28870.382753719612</v>
      </c>
      <c r="Z187" s="143"/>
      <c r="AA187" s="143"/>
      <c r="AB187" s="143"/>
    </row>
    <row r="188" spans="1:29" s="162" customFormat="1" x14ac:dyDescent="0.2">
      <c r="A188" s="143"/>
      <c r="B188" s="299"/>
      <c r="C188" s="299"/>
      <c r="D188" s="304" t="s">
        <v>70</v>
      </c>
      <c r="E188" s="304"/>
      <c r="F188" s="304"/>
      <c r="G188" s="304"/>
      <c r="H188" s="304"/>
      <c r="I188" s="304"/>
      <c r="J188" s="304"/>
      <c r="K188" s="304"/>
      <c r="L188" s="304"/>
      <c r="M188" s="304"/>
      <c r="N188" s="57" t="s">
        <v>71</v>
      </c>
      <c r="O188" s="93">
        <f>SUMPRODUCT(C113:C125,'Function Code Mapping'!$Q$26:$Q$38)</f>
        <v>0</v>
      </c>
      <c r="P188" s="93">
        <f>SUMPRODUCT(D113:D125,'Function Code Mapping'!$Q$26:$Q$38)</f>
        <v>0</v>
      </c>
      <c r="Q188" s="93">
        <f>SUMPRODUCT(E113:E125,'Function Code Mapping'!$Q$26:$Q$38)</f>
        <v>0</v>
      </c>
      <c r="R188" s="93">
        <f>SUMPRODUCT(F113:F125,'Function Code Mapping'!$Q$26:$Q$38)</f>
        <v>0</v>
      </c>
      <c r="S188" s="93">
        <f ca="1">SUMPRODUCT(G113:G125,'Function Code Mapping'!$Q$26:$Q$38)</f>
        <v>0</v>
      </c>
      <c r="T188" s="93">
        <f ca="1">SUMPRODUCT(H113:H125,'Function Code Mapping'!$Q$26:$Q$38)</f>
        <v>0</v>
      </c>
      <c r="U188" s="93">
        <f ca="1">SUMPRODUCT(I113:I125,'Function Code Mapping'!$Q$26:$Q$38)</f>
        <v>0</v>
      </c>
      <c r="V188" s="93">
        <f ca="1">SUMPRODUCT(J113:J125,'Function Code Mapping'!$Q$26:$Q$38)</f>
        <v>0</v>
      </c>
      <c r="W188" s="93">
        <f ca="1">SUMPRODUCT(K113:K125,'Function Code Mapping'!$Q$26:$Q$38)</f>
        <v>0</v>
      </c>
      <c r="X188" s="93">
        <f ca="1">SUMPRODUCT(L113:L125,'Function Code Mapping'!$Q$26:$Q$38)</f>
        <v>0</v>
      </c>
      <c r="Y188" s="93">
        <f ca="1">SUMPRODUCT(M113:M125,'Function Code Mapping'!$Q$26:$Q$38)</f>
        <v>0</v>
      </c>
      <c r="Z188" s="143"/>
      <c r="AA188" s="143"/>
      <c r="AB188" s="143"/>
    </row>
    <row r="189" spans="1:29" s="162" customFormat="1" ht="12.75" customHeight="1" x14ac:dyDescent="0.2">
      <c r="A189" s="143"/>
      <c r="B189" s="299" t="s">
        <v>335</v>
      </c>
      <c r="C189" s="299"/>
      <c r="D189" s="305" t="s">
        <v>305</v>
      </c>
      <c r="E189" s="306"/>
      <c r="F189" s="306"/>
      <c r="G189" s="306"/>
      <c r="H189" s="306"/>
      <c r="I189" s="306"/>
      <c r="J189" s="306"/>
      <c r="K189" s="306"/>
      <c r="L189" s="306"/>
      <c r="M189" s="307"/>
      <c r="N189" s="57"/>
      <c r="O189" s="93">
        <f t="shared" ref="O189" si="31">C124</f>
        <v>20962785.78485363</v>
      </c>
      <c r="P189" s="93">
        <f t="shared" ref="P189" si="32">D124</f>
        <v>26558247.151181392</v>
      </c>
      <c r="Q189" s="93">
        <f t="shared" ref="Q189" si="33">E124</f>
        <v>26169594.773232047</v>
      </c>
      <c r="R189" s="93">
        <f t="shared" ref="R189" si="34">F124</f>
        <v>25827231.921221364</v>
      </c>
      <c r="S189" s="93">
        <f t="shared" ref="S189" ca="1" si="35">G124</f>
        <v>39691380.098379865</v>
      </c>
      <c r="T189" s="93">
        <f t="shared" ref="T189" ca="1" si="36">H124</f>
        <v>34462202.2836909</v>
      </c>
      <c r="U189" s="93">
        <f t="shared" ref="U189" ca="1" si="37">I124</f>
        <v>33433183.07810206</v>
      </c>
      <c r="V189" s="93">
        <f t="shared" ref="V189" ca="1" si="38">J124</f>
        <v>36552161.31479983</v>
      </c>
      <c r="W189" s="93">
        <f t="shared" ref="W189" ca="1" si="39">K124</f>
        <v>26437113.760385863</v>
      </c>
      <c r="X189" s="93">
        <f t="shared" ref="X189" ca="1" si="40">L124</f>
        <v>26612894.696056861</v>
      </c>
      <c r="Y189" s="93">
        <f t="shared" ref="Y189" ca="1" si="41">M124</f>
        <v>26689321.189826857</v>
      </c>
      <c r="Z189" s="143"/>
      <c r="AA189" s="143"/>
      <c r="AB189" s="143"/>
    </row>
    <row r="190" spans="1:29" s="162" customFormat="1" x14ac:dyDescent="0.2">
      <c r="A190" s="143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74" t="s">
        <v>36</v>
      </c>
      <c r="O190" s="90">
        <f t="shared" ref="O190:Y190" si="42">SUM(O175:O189)</f>
        <v>68408903.73062323</v>
      </c>
      <c r="P190" s="90">
        <f t="shared" si="42"/>
        <v>72821645.746418595</v>
      </c>
      <c r="Q190" s="90">
        <f t="shared" si="42"/>
        <v>76919032.849327803</v>
      </c>
      <c r="R190" s="90">
        <f t="shared" si="42"/>
        <v>85439546.263747722</v>
      </c>
      <c r="S190" s="90">
        <f t="shared" ca="1" si="42"/>
        <v>92336401.949711651</v>
      </c>
      <c r="T190" s="90">
        <f t="shared" ca="1" si="42"/>
        <v>87873358.972282678</v>
      </c>
      <c r="U190" s="90">
        <f t="shared" ca="1" si="42"/>
        <v>79521195.577970296</v>
      </c>
      <c r="V190" s="90">
        <f t="shared" ca="1" si="42"/>
        <v>84791484.820552215</v>
      </c>
      <c r="W190" s="90">
        <f t="shared" ca="1" si="42"/>
        <v>78639778.627142966</v>
      </c>
      <c r="X190" s="90">
        <f t="shared" ca="1" si="42"/>
        <v>76376195.119261429</v>
      </c>
      <c r="Y190" s="90">
        <f t="shared" ca="1" si="42"/>
        <v>76999939.643048003</v>
      </c>
      <c r="Z190" s="143"/>
      <c r="AA190" s="143"/>
      <c r="AB190" s="143"/>
    </row>
    <row r="191" spans="1:29" s="162" customFormat="1" x14ac:dyDescent="0.2">
      <c r="A191" s="143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 t="s">
        <v>231</v>
      </c>
      <c r="O191" s="198">
        <f>O190-C126</f>
        <v>0</v>
      </c>
      <c r="P191" s="198">
        <f t="shared" ref="P191" si="43">P190-D126</f>
        <v>0</v>
      </c>
      <c r="Q191" s="198">
        <f t="shared" ref="Q191" si="44">Q190-E126</f>
        <v>0</v>
      </c>
      <c r="R191" s="198">
        <f t="shared" ref="R191" si="45">R190-F126</f>
        <v>0</v>
      </c>
      <c r="S191" s="198">
        <f t="shared" ref="S191" ca="1" si="46">S190-G126</f>
        <v>0</v>
      </c>
      <c r="T191" s="198">
        <f t="shared" ref="T191" ca="1" si="47">T190-H126</f>
        <v>0</v>
      </c>
      <c r="U191" s="198">
        <f t="shared" ref="U191" ca="1" si="48">U190-I126</f>
        <v>0</v>
      </c>
      <c r="V191" s="198">
        <f t="shared" ref="V191" ca="1" si="49">V190-J126</f>
        <v>0</v>
      </c>
      <c r="W191" s="198">
        <f t="shared" ref="W191" ca="1" si="50">W190-K126</f>
        <v>0</v>
      </c>
      <c r="X191" s="198">
        <f t="shared" ref="X191" ca="1" si="51">X190-L126</f>
        <v>0</v>
      </c>
      <c r="Y191" s="198">
        <f t="shared" ref="Y191" ca="1" si="52">Y190-M126</f>
        <v>0</v>
      </c>
      <c r="Z191" s="143"/>
      <c r="AA191" s="143"/>
      <c r="AB191" s="143"/>
      <c r="AC191" s="143"/>
    </row>
    <row r="192" spans="1:29" s="162" customFormat="1" x14ac:dyDescent="0.2">
      <c r="A192" s="143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3"/>
      <c r="X192" s="143"/>
      <c r="Y192" s="143"/>
      <c r="Z192" s="143"/>
      <c r="AA192" s="143"/>
      <c r="AB192" s="143"/>
      <c r="AC192" s="143"/>
    </row>
    <row r="193" spans="1:29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143"/>
      <c r="AB193" s="4"/>
      <c r="AC193" s="4"/>
    </row>
    <row r="194" spans="1:29" ht="15.75" x14ac:dyDescent="0.25">
      <c r="A194" s="28"/>
      <c r="B194" s="28" t="s">
        <v>307</v>
      </c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</row>
    <row r="195" spans="1:29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143"/>
      <c r="AB195" s="4"/>
      <c r="AC195" s="4"/>
    </row>
    <row r="196" spans="1:29" hidden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143"/>
      <c r="AB196" s="4"/>
      <c r="AC196" s="4"/>
    </row>
    <row r="197" spans="1:29" hidden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143"/>
      <c r="AB197" s="4"/>
      <c r="AC197" s="4"/>
    </row>
    <row r="198" spans="1:29" hidden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143"/>
      <c r="AB198" s="4"/>
      <c r="AC198" s="4"/>
    </row>
    <row r="199" spans="1:29" hidden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143"/>
      <c r="AB199" s="4"/>
      <c r="AC199" s="4"/>
    </row>
    <row r="200" spans="1:29" hidden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143"/>
      <c r="AB200" s="4"/>
      <c r="AC200" s="4"/>
    </row>
    <row r="201" spans="1:29" hidden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143"/>
      <c r="AB201" s="4"/>
      <c r="AC201" s="4"/>
    </row>
    <row r="202" spans="1:29" hidden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143"/>
      <c r="AB202" s="4"/>
      <c r="AC202" s="4"/>
    </row>
    <row r="203" spans="1:29" hidden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143"/>
      <c r="AB203" s="4"/>
      <c r="AC203" s="4"/>
    </row>
    <row r="204" spans="1:29" hidden="1" x14ac:dyDescent="0.2"/>
    <row r="205" spans="1:29" hidden="1" x14ac:dyDescent="0.2"/>
    <row r="206" spans="1:29" hidden="1" x14ac:dyDescent="0.2"/>
    <row r="207" spans="1:29" hidden="1" x14ac:dyDescent="0.2"/>
    <row r="208" spans="1:29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t="14.25" hidden="1" customHeight="1" x14ac:dyDescent="0.2"/>
    <row r="279" ht="14.25" hidden="1" customHeight="1" x14ac:dyDescent="0.2"/>
  </sheetData>
  <mergeCells count="75">
    <mergeCell ref="B189:C189"/>
    <mergeCell ref="D189:M189"/>
    <mergeCell ref="B183:C185"/>
    <mergeCell ref="D183:M183"/>
    <mergeCell ref="D184:M184"/>
    <mergeCell ref="D185:M185"/>
    <mergeCell ref="B186:C188"/>
    <mergeCell ref="D186:M186"/>
    <mergeCell ref="D187:M187"/>
    <mergeCell ref="D188:M188"/>
    <mergeCell ref="B178:C182"/>
    <mergeCell ref="D178:M178"/>
    <mergeCell ref="D179:M179"/>
    <mergeCell ref="D180:M180"/>
    <mergeCell ref="D181:M181"/>
    <mergeCell ref="D182:M182"/>
    <mergeCell ref="O173:Y173"/>
    <mergeCell ref="B174:C174"/>
    <mergeCell ref="D174:M174"/>
    <mergeCell ref="B175:C177"/>
    <mergeCell ref="D175:M175"/>
    <mergeCell ref="D176:M176"/>
    <mergeCell ref="D177:M177"/>
    <mergeCell ref="O152:Y152"/>
    <mergeCell ref="C6:M6"/>
    <mergeCell ref="O26:Y26"/>
    <mergeCell ref="C48:M48"/>
    <mergeCell ref="C69:M69"/>
    <mergeCell ref="C90:M90"/>
    <mergeCell ref="D42:M42"/>
    <mergeCell ref="D31:M31"/>
    <mergeCell ref="D32:M32"/>
    <mergeCell ref="B39:C41"/>
    <mergeCell ref="D39:M39"/>
    <mergeCell ref="D40:M40"/>
    <mergeCell ref="D41:M41"/>
    <mergeCell ref="D33:M33"/>
    <mergeCell ref="D34:M34"/>
    <mergeCell ref="D35:M35"/>
    <mergeCell ref="B168:C168"/>
    <mergeCell ref="D168:M168"/>
    <mergeCell ref="B154:C156"/>
    <mergeCell ref="D154:M154"/>
    <mergeCell ref="D155:M155"/>
    <mergeCell ref="D156:M156"/>
    <mergeCell ref="D153:M153"/>
    <mergeCell ref="B165:C167"/>
    <mergeCell ref="D165:M165"/>
    <mergeCell ref="D166:M166"/>
    <mergeCell ref="D167:M167"/>
    <mergeCell ref="B157:C161"/>
    <mergeCell ref="D157:M157"/>
    <mergeCell ref="D158:M158"/>
    <mergeCell ref="D159:M159"/>
    <mergeCell ref="D160:M160"/>
    <mergeCell ref="D161:M161"/>
    <mergeCell ref="B162:C164"/>
    <mergeCell ref="D162:M162"/>
    <mergeCell ref="D163:M163"/>
    <mergeCell ref="D164:M164"/>
    <mergeCell ref="B153:C153"/>
    <mergeCell ref="C132:M132"/>
    <mergeCell ref="B42:C42"/>
    <mergeCell ref="B31:C35"/>
    <mergeCell ref="B36:C38"/>
    <mergeCell ref="B27:C27"/>
    <mergeCell ref="D27:M27"/>
    <mergeCell ref="B28:C30"/>
    <mergeCell ref="D28:M28"/>
    <mergeCell ref="D29:M29"/>
    <mergeCell ref="D30:M30"/>
    <mergeCell ref="D36:M36"/>
    <mergeCell ref="D37:M37"/>
    <mergeCell ref="D38:M38"/>
    <mergeCell ref="C111:M111"/>
  </mergeCells>
  <hyperlinks>
    <hyperlink ref="N1" location="Menu!A1" display="Menu" xr:uid="{00000000-0004-0000-0A00-000000000000}"/>
  </hyperlinks>
  <pageMargins left="0.25" right="0.25" top="0.75" bottom="0.75" header="0.3" footer="0.3"/>
  <pageSetup scale="2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1">
    <tabColor rgb="FFFF0000"/>
  </sheetPr>
  <dimension ref="A1:T212"/>
  <sheetViews>
    <sheetView zoomScale="80" zoomScaleNormal="80" workbookViewId="0">
      <selection activeCell="H1" sqref="H1:H2"/>
    </sheetView>
  </sheetViews>
  <sheetFormatPr defaultColWidth="0" defaultRowHeight="12.75" zeroHeight="1" x14ac:dyDescent="0.2"/>
  <cols>
    <col min="1" max="1" width="3.7109375" style="60" customWidth="1"/>
    <col min="2" max="2" width="9.140625" style="60" customWidth="1"/>
    <col min="3" max="7" width="13.140625" style="60" customWidth="1"/>
    <col min="8" max="8" width="29.85546875" style="60" customWidth="1"/>
    <col min="9" max="13" width="13.140625" style="60" customWidth="1"/>
    <col min="14" max="14" width="3.7109375" style="162" customWidth="1"/>
    <col min="15" max="15" width="3.7109375" style="60" hidden="1" customWidth="1"/>
    <col min="16" max="16384" width="9.140625" style="60" hidden="1"/>
  </cols>
  <sheetData>
    <row r="1" spans="1:20" s="26" customFormat="1" ht="18" x14ac:dyDescent="0.25">
      <c r="A1" s="26" t="str">
        <f>Menu!A1</f>
        <v>CitiPower - Connections</v>
      </c>
      <c r="H1" s="315" t="s">
        <v>352</v>
      </c>
      <c r="M1" s="30" t="s">
        <v>39</v>
      </c>
    </row>
    <row r="2" spans="1:20" s="28" customFormat="1" ht="15.75" x14ac:dyDescent="0.25">
      <c r="A2" s="196" t="str">
        <f ca="1">RIGHT(CELL("filename", $A$1), LEN(CELL("filename", $A$1)) - SEARCH("]", CELL("filename", $A$1)))</f>
        <v>Forecast Contributions</v>
      </c>
      <c r="H2" s="316" t="s">
        <v>353</v>
      </c>
    </row>
    <row r="3" spans="1:20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43"/>
      <c r="O3" s="4"/>
      <c r="P3" s="4"/>
      <c r="Q3" s="4"/>
      <c r="R3" s="4"/>
      <c r="S3" s="4"/>
      <c r="T3" s="4"/>
    </row>
    <row r="4" spans="1:20" x14ac:dyDescent="0.2">
      <c r="A4" s="4"/>
      <c r="B4" s="34" t="s">
        <v>193</v>
      </c>
      <c r="C4" s="4"/>
      <c r="D4" s="4"/>
      <c r="E4" s="4"/>
      <c r="F4" s="4"/>
      <c r="G4" s="4"/>
      <c r="H4" s="4"/>
      <c r="I4" s="143"/>
      <c r="J4" s="47"/>
      <c r="K4" s="4"/>
      <c r="L4" s="4"/>
      <c r="M4" s="4"/>
      <c r="N4" s="143"/>
      <c r="O4" s="4"/>
      <c r="P4" s="4"/>
      <c r="Q4" s="4"/>
      <c r="R4" s="4"/>
      <c r="S4" s="4"/>
      <c r="T4" s="4"/>
    </row>
    <row r="5" spans="1:20" x14ac:dyDescent="0.2">
      <c r="A5" s="4"/>
      <c r="B5" s="4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43"/>
      <c r="O5" s="4"/>
      <c r="P5" s="4"/>
      <c r="Q5" s="4"/>
      <c r="R5" s="4"/>
      <c r="S5" s="4"/>
      <c r="T5" s="4"/>
    </row>
    <row r="6" spans="1:20" x14ac:dyDescent="0.2">
      <c r="A6" s="4"/>
      <c r="B6" s="4"/>
      <c r="C6" s="288" t="s">
        <v>340</v>
      </c>
      <c r="D6" s="289"/>
      <c r="E6" s="289"/>
      <c r="F6" s="289"/>
      <c r="G6" s="289"/>
      <c r="H6" s="289"/>
      <c r="I6" s="289"/>
      <c r="J6" s="289"/>
      <c r="K6" s="289"/>
      <c r="L6" s="289"/>
      <c r="M6" s="290"/>
      <c r="N6" s="143"/>
      <c r="O6" s="4"/>
      <c r="P6" s="4"/>
      <c r="Q6" s="4"/>
      <c r="R6" s="4"/>
      <c r="S6" s="4"/>
      <c r="T6" s="4"/>
    </row>
    <row r="7" spans="1:20" ht="25.5" x14ac:dyDescent="0.2">
      <c r="A7" s="4"/>
      <c r="B7" s="3" t="s">
        <v>35</v>
      </c>
      <c r="C7" s="3" t="s">
        <v>325</v>
      </c>
      <c r="D7" s="3" t="s">
        <v>326</v>
      </c>
      <c r="E7" s="3" t="s">
        <v>327</v>
      </c>
      <c r="F7" s="163" t="s">
        <v>328</v>
      </c>
      <c r="G7" s="3" t="s">
        <v>312</v>
      </c>
      <c r="H7" s="3" t="s">
        <v>313</v>
      </c>
      <c r="I7" s="3" t="s">
        <v>314</v>
      </c>
      <c r="J7" s="3" t="s">
        <v>315</v>
      </c>
      <c r="K7" s="3" t="s">
        <v>316</v>
      </c>
      <c r="L7" s="3" t="s">
        <v>317</v>
      </c>
      <c r="M7" s="172" t="s">
        <v>318</v>
      </c>
      <c r="N7" s="143"/>
      <c r="O7" s="4"/>
      <c r="P7" s="4"/>
      <c r="Q7" s="4"/>
      <c r="R7" s="4"/>
      <c r="S7" s="4"/>
      <c r="T7" s="4"/>
    </row>
    <row r="8" spans="1:20" x14ac:dyDescent="0.2">
      <c r="A8" s="4"/>
      <c r="B8" s="216">
        <f>IF('Historical Contributions'!B8=0," ",'Historical Contributions'!B8)</f>
        <v>102</v>
      </c>
      <c r="C8" s="189">
        <f>'Historical Contributions'!C8*Inflation!H$10</f>
        <v>0</v>
      </c>
      <c r="D8" s="189">
        <f>'Historical Contributions'!D8*Inflation!I$10</f>
        <v>4604.762790697675</v>
      </c>
      <c r="E8" s="189">
        <f>'Historical Contributions'!E8*Inflation!J$10</f>
        <v>4558.1215469613262</v>
      </c>
      <c r="F8" s="189">
        <f>'Historical Contributions'!F8*Inflation!K$10</f>
        <v>0</v>
      </c>
      <c r="G8" s="199">
        <f>AVERAGE($D8:$F8)</f>
        <v>3054.2947792196669</v>
      </c>
      <c r="H8" s="227">
        <f>AVERAGE($D8:$F8)</f>
        <v>3054.2947792196669</v>
      </c>
      <c r="I8" s="199">
        <f>AVERAGE($D8:$F8)*$I$25</f>
        <v>1769.5550595949589</v>
      </c>
      <c r="J8" s="199">
        <f t="shared" ref="J8:M20" si="0">AVERAGE($D8:$F8)</f>
        <v>3054.2947792196669</v>
      </c>
      <c r="K8" s="199">
        <f t="shared" si="0"/>
        <v>3054.2947792196669</v>
      </c>
      <c r="L8" s="199">
        <f t="shared" si="0"/>
        <v>3054.2947792196669</v>
      </c>
      <c r="M8" s="199">
        <f t="shared" si="0"/>
        <v>3054.2947792196669</v>
      </c>
      <c r="N8" s="143"/>
      <c r="O8" s="4"/>
      <c r="P8" s="4"/>
      <c r="Q8" s="4"/>
      <c r="R8" s="4"/>
      <c r="S8" s="4"/>
      <c r="T8" s="4"/>
    </row>
    <row r="9" spans="1:20" x14ac:dyDescent="0.2">
      <c r="A9" s="4"/>
      <c r="B9" s="216">
        <f>IF('Historical Contributions'!B9=0," ",'Historical Contributions'!B9)</f>
        <v>104</v>
      </c>
      <c r="C9" s="189">
        <f>'Historical Contributions'!C9*Inflation!H$10</f>
        <v>21637.99811142587</v>
      </c>
      <c r="D9" s="189">
        <f>'Historical Contributions'!D9*Inflation!I$10</f>
        <v>0</v>
      </c>
      <c r="E9" s="189">
        <f>'Historical Contributions'!E9*Inflation!J$10</f>
        <v>8466.2292817679554</v>
      </c>
      <c r="F9" s="189">
        <f>'Historical Contributions'!F9*Inflation!K$10</f>
        <v>8305.623306233063</v>
      </c>
      <c r="G9" s="199">
        <f t="shared" ref="G9:H21" si="1">AVERAGE($D9:$F9)</f>
        <v>5590.6175293336737</v>
      </c>
      <c r="H9" s="227">
        <f t="shared" si="1"/>
        <v>5590.6175293336737</v>
      </c>
      <c r="I9" s="199">
        <f t="shared" ref="I9:I20" si="2">AVERAGE($D9:$F9)*$I$25</f>
        <v>3239.0146499939933</v>
      </c>
      <c r="J9" s="199">
        <f t="shared" si="0"/>
        <v>5590.6175293336737</v>
      </c>
      <c r="K9" s="199">
        <f t="shared" si="0"/>
        <v>5590.6175293336737</v>
      </c>
      <c r="L9" s="199">
        <f t="shared" si="0"/>
        <v>5590.6175293336737</v>
      </c>
      <c r="M9" s="199">
        <f t="shared" si="0"/>
        <v>5590.6175293336737</v>
      </c>
      <c r="N9" s="143"/>
      <c r="O9" s="4"/>
      <c r="P9" s="4"/>
      <c r="Q9" s="4"/>
      <c r="R9" s="4"/>
      <c r="S9" s="4"/>
      <c r="T9" s="4"/>
    </row>
    <row r="10" spans="1:20" x14ac:dyDescent="0.2">
      <c r="A10" s="4"/>
      <c r="B10" s="216">
        <f>IF('Historical Contributions'!B10=0," ",'Historical Contributions'!B10)</f>
        <v>105</v>
      </c>
      <c r="C10" s="189">
        <f>'Historical Contributions'!C10*Inflation!H$10</f>
        <v>334.11614730878182</v>
      </c>
      <c r="D10" s="189">
        <f>'Historical Contributions'!D10*Inflation!I$10</f>
        <v>18711.442790697674</v>
      </c>
      <c r="E10" s="189">
        <f>'Historical Contributions'!E10*Inflation!J$10</f>
        <v>45779.162062615105</v>
      </c>
      <c r="F10" s="189">
        <f>'Historical Contributions'!F10*Inflation!K$10</f>
        <v>27059.799457994581</v>
      </c>
      <c r="G10" s="199">
        <f>AVERAGE($D10:$F10)</f>
        <v>30516.801437102451</v>
      </c>
      <c r="H10" s="227">
        <f t="shared" si="1"/>
        <v>30516.801437102451</v>
      </c>
      <c r="I10" s="232">
        <f>AVERAGE($D10:$F10)</f>
        <v>30516.801437102451</v>
      </c>
      <c r="J10" s="199">
        <f t="shared" si="0"/>
        <v>30516.801437102451</v>
      </c>
      <c r="K10" s="199">
        <f t="shared" si="0"/>
        <v>30516.801437102451</v>
      </c>
      <c r="L10" s="199">
        <f t="shared" si="0"/>
        <v>30516.801437102451</v>
      </c>
      <c r="M10" s="199">
        <f t="shared" si="0"/>
        <v>30516.801437102451</v>
      </c>
      <c r="N10" s="143"/>
      <c r="O10" s="4"/>
      <c r="P10" s="4"/>
      <c r="Q10" s="4"/>
      <c r="R10" s="4"/>
      <c r="S10" s="4"/>
      <c r="T10" s="4"/>
    </row>
    <row r="11" spans="1:20" x14ac:dyDescent="0.2">
      <c r="A11" s="4"/>
      <c r="B11" s="216">
        <f>IF('Historical Contributions'!B11=0," ",'Historical Contributions'!B11)</f>
        <v>106</v>
      </c>
      <c r="C11" s="189">
        <f>'Historical Contributions'!C11*Inflation!H$10</f>
        <v>154470.28895184136</v>
      </c>
      <c r="D11" s="189">
        <f>'Historical Contributions'!D11*Inflation!I$10</f>
        <v>258016.42511627908</v>
      </c>
      <c r="E11" s="189">
        <f>'Historical Contributions'!E11*Inflation!J$10</f>
        <v>104773.13167587477</v>
      </c>
      <c r="F11" s="189">
        <f>'Historical Contributions'!F11*Inflation!K$10</f>
        <v>43873.148405113083</v>
      </c>
      <c r="G11" s="199">
        <f t="shared" si="1"/>
        <v>135554.23506575564</v>
      </c>
      <c r="H11" s="227">
        <f t="shared" si="1"/>
        <v>135554.23506575564</v>
      </c>
      <c r="I11" s="232">
        <f>AVERAGE($D11:$F11)</f>
        <v>135554.23506575564</v>
      </c>
      <c r="J11" s="199">
        <f t="shared" si="0"/>
        <v>135554.23506575564</v>
      </c>
      <c r="K11" s="199">
        <f t="shared" si="0"/>
        <v>135554.23506575564</v>
      </c>
      <c r="L11" s="199">
        <f t="shared" si="0"/>
        <v>135554.23506575564</v>
      </c>
      <c r="M11" s="199">
        <f t="shared" si="0"/>
        <v>135554.23506575564</v>
      </c>
      <c r="N11" s="143"/>
      <c r="O11" s="4"/>
      <c r="P11" s="4"/>
      <c r="Q11" s="4"/>
      <c r="R11" s="4"/>
      <c r="S11" s="4"/>
      <c r="T11" s="4"/>
    </row>
    <row r="12" spans="1:20" x14ac:dyDescent="0.2">
      <c r="A12" s="4"/>
      <c r="B12" s="216">
        <f>IF('Historical Contributions'!B12=0," ",'Historical Contributions'!B12)</f>
        <v>107</v>
      </c>
      <c r="C12" s="189">
        <f>'Historical Contributions'!C12*Inflation!H$10</f>
        <v>0</v>
      </c>
      <c r="D12" s="189">
        <f>'Historical Contributions'!D12*Inflation!I$10</f>
        <v>0</v>
      </c>
      <c r="E12" s="189">
        <f>'Historical Contributions'!E12*Inflation!J$10</f>
        <v>0</v>
      </c>
      <c r="F12" s="189">
        <f>'Historical Contributions'!F12*Inflation!K$10</f>
        <v>0</v>
      </c>
      <c r="G12" s="199">
        <f t="shared" si="1"/>
        <v>0</v>
      </c>
      <c r="H12" s="227">
        <f t="shared" si="1"/>
        <v>0</v>
      </c>
      <c r="I12" s="199">
        <f t="shared" si="2"/>
        <v>0</v>
      </c>
      <c r="J12" s="199">
        <f t="shared" si="0"/>
        <v>0</v>
      </c>
      <c r="K12" s="199">
        <f t="shared" si="0"/>
        <v>0</v>
      </c>
      <c r="L12" s="199">
        <f t="shared" si="0"/>
        <v>0</v>
      </c>
      <c r="M12" s="199">
        <f t="shared" si="0"/>
        <v>0</v>
      </c>
      <c r="N12" s="143"/>
      <c r="O12" s="4"/>
      <c r="P12" s="4"/>
      <c r="Q12" s="4"/>
      <c r="R12" s="4"/>
      <c r="S12" s="4"/>
      <c r="T12" s="4"/>
    </row>
    <row r="13" spans="1:20" x14ac:dyDescent="0.2">
      <c r="A13" s="4"/>
      <c r="B13" s="216">
        <f>IF('Historical Contributions'!B13=0," ",'Historical Contributions'!B13)</f>
        <v>108</v>
      </c>
      <c r="C13" s="189">
        <f>'Historical Contributions'!C13*Inflation!H$10</f>
        <v>0</v>
      </c>
      <c r="D13" s="189">
        <f>'Historical Contributions'!D13*Inflation!I$10</f>
        <v>0</v>
      </c>
      <c r="E13" s="189">
        <f>'Historical Contributions'!E13*Inflation!J$10</f>
        <v>0</v>
      </c>
      <c r="F13" s="189">
        <f>'Historical Contributions'!F13*Inflation!K$10</f>
        <v>0</v>
      </c>
      <c r="G13" s="199">
        <f t="shared" si="1"/>
        <v>0</v>
      </c>
      <c r="H13" s="227">
        <f t="shared" si="1"/>
        <v>0</v>
      </c>
      <c r="I13" s="199">
        <f t="shared" si="2"/>
        <v>0</v>
      </c>
      <c r="J13" s="199">
        <f t="shared" si="0"/>
        <v>0</v>
      </c>
      <c r="K13" s="199">
        <f t="shared" si="0"/>
        <v>0</v>
      </c>
      <c r="L13" s="199">
        <f t="shared" si="0"/>
        <v>0</v>
      </c>
      <c r="M13" s="199">
        <f t="shared" si="0"/>
        <v>0</v>
      </c>
      <c r="N13" s="143"/>
      <c r="O13" s="4"/>
      <c r="P13" s="4"/>
      <c r="Q13" s="4"/>
      <c r="R13" s="4"/>
      <c r="S13" s="4"/>
      <c r="T13" s="4"/>
    </row>
    <row r="14" spans="1:20" x14ac:dyDescent="0.2">
      <c r="A14" s="4"/>
      <c r="B14" s="216">
        <f>IF('Historical Contributions'!B14=0," ",'Historical Contributions'!B14)</f>
        <v>109</v>
      </c>
      <c r="C14" s="189">
        <f>'Historical Contributions'!C14*Inflation!H$10</f>
        <v>0</v>
      </c>
      <c r="D14" s="189">
        <f>'Historical Contributions'!D14*Inflation!I$10</f>
        <v>0</v>
      </c>
      <c r="E14" s="189">
        <f>'Historical Contributions'!E14*Inflation!J$10</f>
        <v>0</v>
      </c>
      <c r="F14" s="189">
        <f>'Historical Contributions'!F14*Inflation!K$10</f>
        <v>0</v>
      </c>
      <c r="G14" s="199">
        <f t="shared" si="1"/>
        <v>0</v>
      </c>
      <c r="H14" s="227">
        <f t="shared" si="1"/>
        <v>0</v>
      </c>
      <c r="I14" s="199">
        <f t="shared" si="2"/>
        <v>0</v>
      </c>
      <c r="J14" s="199">
        <f t="shared" si="0"/>
        <v>0</v>
      </c>
      <c r="K14" s="199">
        <f t="shared" si="0"/>
        <v>0</v>
      </c>
      <c r="L14" s="199">
        <f t="shared" si="0"/>
        <v>0</v>
      </c>
      <c r="M14" s="199">
        <f t="shared" si="0"/>
        <v>0</v>
      </c>
      <c r="N14" s="143"/>
      <c r="O14" s="4"/>
      <c r="P14" s="4"/>
      <c r="Q14" s="4"/>
      <c r="R14" s="4"/>
      <c r="S14" s="4"/>
      <c r="T14" s="4"/>
    </row>
    <row r="15" spans="1:20" x14ac:dyDescent="0.2">
      <c r="A15" s="4"/>
      <c r="B15" s="216">
        <f>IF('Historical Contributions'!B15=0," ",'Historical Contributions'!B15)</f>
        <v>110</v>
      </c>
      <c r="C15" s="189">
        <f>'Historical Contributions'!C15*Inflation!H$10</f>
        <v>0</v>
      </c>
      <c r="D15" s="189">
        <f>'Historical Contributions'!D15*Inflation!I$10</f>
        <v>0</v>
      </c>
      <c r="E15" s="189">
        <f>'Historical Contributions'!E15*Inflation!J$10</f>
        <v>0</v>
      </c>
      <c r="F15" s="189">
        <f>'Historical Contributions'!F15*Inflation!K$10</f>
        <v>0</v>
      </c>
      <c r="G15" s="199">
        <f t="shared" si="1"/>
        <v>0</v>
      </c>
      <c r="H15" s="227">
        <f t="shared" si="1"/>
        <v>0</v>
      </c>
      <c r="I15" s="199">
        <f t="shared" si="2"/>
        <v>0</v>
      </c>
      <c r="J15" s="199">
        <f t="shared" si="0"/>
        <v>0</v>
      </c>
      <c r="K15" s="199">
        <f t="shared" si="0"/>
        <v>0</v>
      </c>
      <c r="L15" s="199">
        <f t="shared" si="0"/>
        <v>0</v>
      </c>
      <c r="M15" s="199">
        <f t="shared" si="0"/>
        <v>0</v>
      </c>
      <c r="N15" s="143"/>
      <c r="O15" s="4"/>
      <c r="P15" s="4"/>
      <c r="Q15" s="4"/>
      <c r="R15" s="4"/>
      <c r="S15" s="4"/>
      <c r="T15" s="4"/>
    </row>
    <row r="16" spans="1:20" x14ac:dyDescent="0.2">
      <c r="A16" s="4"/>
      <c r="B16" s="216">
        <f>IF('Historical Contributions'!B16=0," ",'Historical Contributions'!B16)</f>
        <v>111</v>
      </c>
      <c r="C16" s="189">
        <f>'Historical Contributions'!C16*Inflation!H$10</f>
        <v>269030.43153918791</v>
      </c>
      <c r="D16" s="189">
        <f>'Historical Contributions'!D16*Inflation!I$10</f>
        <v>144994.90046511628</v>
      </c>
      <c r="E16" s="189">
        <f>'Historical Contributions'!E16*Inflation!J$10</f>
        <v>137285.0570902394</v>
      </c>
      <c r="F16" s="189">
        <f>'Historical Contributions'!F16*Inflation!K$10</f>
        <v>66358.387533875342</v>
      </c>
      <c r="G16" s="199">
        <f t="shared" si="1"/>
        <v>116212.78169641034</v>
      </c>
      <c r="H16" s="227">
        <f t="shared" si="1"/>
        <v>116212.78169641034</v>
      </c>
      <c r="I16" s="232">
        <f>AVERAGE($D16:$F16)</f>
        <v>116212.78169641034</v>
      </c>
      <c r="J16" s="199">
        <f t="shared" si="0"/>
        <v>116212.78169641034</v>
      </c>
      <c r="K16" s="199">
        <f t="shared" si="0"/>
        <v>116212.78169641034</v>
      </c>
      <c r="L16" s="199">
        <f t="shared" si="0"/>
        <v>116212.78169641034</v>
      </c>
      <c r="M16" s="199">
        <f t="shared" si="0"/>
        <v>116212.78169641034</v>
      </c>
      <c r="N16" s="143"/>
      <c r="O16" s="4"/>
      <c r="P16" s="4"/>
      <c r="Q16" s="4"/>
      <c r="R16" s="4"/>
      <c r="S16" s="4"/>
      <c r="T16" s="4"/>
    </row>
    <row r="17" spans="1:20" x14ac:dyDescent="0.2">
      <c r="A17" s="4"/>
      <c r="B17" s="216">
        <f>IF('Historical Contributions'!B17=0," ",'Historical Contributions'!B17)</f>
        <v>114</v>
      </c>
      <c r="C17" s="189">
        <f>'Historical Contributions'!C17*Inflation!H$10</f>
        <v>0</v>
      </c>
      <c r="D17" s="189">
        <f>'Historical Contributions'!D17*Inflation!I$10</f>
        <v>0</v>
      </c>
      <c r="E17" s="189">
        <f>'Historical Contributions'!E17*Inflation!J$10</f>
        <v>0</v>
      </c>
      <c r="F17" s="189">
        <f>'Historical Contributions'!F17*Inflation!K$10</f>
        <v>0</v>
      </c>
      <c r="G17" s="199">
        <f t="shared" si="1"/>
        <v>0</v>
      </c>
      <c r="H17" s="227">
        <f t="shared" si="1"/>
        <v>0</v>
      </c>
      <c r="I17" s="199">
        <f t="shared" si="2"/>
        <v>0</v>
      </c>
      <c r="J17" s="199">
        <f t="shared" si="0"/>
        <v>0</v>
      </c>
      <c r="K17" s="199">
        <f t="shared" si="0"/>
        <v>0</v>
      </c>
      <c r="L17" s="199">
        <f t="shared" si="0"/>
        <v>0</v>
      </c>
      <c r="M17" s="199">
        <f t="shared" si="0"/>
        <v>0</v>
      </c>
      <c r="N17" s="143"/>
      <c r="O17" s="4"/>
      <c r="P17" s="4"/>
      <c r="Q17" s="4"/>
      <c r="R17" s="4"/>
      <c r="S17" s="4"/>
      <c r="T17" s="4"/>
    </row>
    <row r="18" spans="1:20" x14ac:dyDescent="0.2">
      <c r="A18" s="4"/>
      <c r="B18" s="216">
        <f>IF('Historical Contributions'!B18=0," ",'Historical Contributions'!B18)</f>
        <v>115</v>
      </c>
      <c r="C18" s="189">
        <f>'Historical Contributions'!C18*Inflation!H$10</f>
        <v>0</v>
      </c>
      <c r="D18" s="189">
        <f>'Historical Contributions'!D18*Inflation!I$10</f>
        <v>0</v>
      </c>
      <c r="E18" s="189">
        <f>'Historical Contributions'!E18*Inflation!J$10</f>
        <v>0</v>
      </c>
      <c r="F18" s="189">
        <f>'Historical Contributions'!F18*Inflation!K$10</f>
        <v>0</v>
      </c>
      <c r="G18" s="199">
        <f t="shared" si="1"/>
        <v>0</v>
      </c>
      <c r="H18" s="227">
        <f t="shared" si="1"/>
        <v>0</v>
      </c>
      <c r="I18" s="199">
        <f t="shared" si="2"/>
        <v>0</v>
      </c>
      <c r="J18" s="199">
        <f t="shared" si="0"/>
        <v>0</v>
      </c>
      <c r="K18" s="199">
        <f t="shared" si="0"/>
        <v>0</v>
      </c>
      <c r="L18" s="199">
        <f t="shared" si="0"/>
        <v>0</v>
      </c>
      <c r="M18" s="199">
        <f t="shared" si="0"/>
        <v>0</v>
      </c>
      <c r="N18" s="143"/>
      <c r="O18" s="4"/>
      <c r="P18" s="4"/>
      <c r="Q18" s="4"/>
      <c r="R18" s="4"/>
      <c r="S18" s="4"/>
      <c r="T18" s="4"/>
    </row>
    <row r="19" spans="1:20" x14ac:dyDescent="0.2">
      <c r="A19" s="4"/>
      <c r="B19" s="216">
        <f>IF('Historical Contributions'!B19=0," ",'Historical Contributions'!B19)</f>
        <v>116</v>
      </c>
      <c r="C19" s="189">
        <f>'Historical Contributions'!C19*Inflation!H$10</f>
        <v>3476758.8630783758</v>
      </c>
      <c r="D19" s="189">
        <f>'Historical Contributions'!D19*Inflation!I$10</f>
        <v>3060523.1609302331</v>
      </c>
      <c r="E19" s="189">
        <f>'Historical Contributions'!E19*Inflation!J$10</f>
        <v>11128.343462246779</v>
      </c>
      <c r="F19" s="189">
        <f>'Historical Contributions'!F19*Inflation!K$10</f>
        <v>4262.2411924119242</v>
      </c>
      <c r="G19" s="199">
        <f t="shared" si="1"/>
        <v>1025304.5818616307</v>
      </c>
      <c r="H19" s="227">
        <f t="shared" si="1"/>
        <v>1025304.5818616307</v>
      </c>
      <c r="I19" s="232">
        <f>AVERAGE($D19:$F19)</f>
        <v>1025304.5818616307</v>
      </c>
      <c r="J19" s="199">
        <f t="shared" si="0"/>
        <v>1025304.5818616307</v>
      </c>
      <c r="K19" s="199">
        <f t="shared" si="0"/>
        <v>1025304.5818616307</v>
      </c>
      <c r="L19" s="199">
        <f t="shared" si="0"/>
        <v>1025304.5818616307</v>
      </c>
      <c r="M19" s="199">
        <f t="shared" si="0"/>
        <v>1025304.5818616307</v>
      </c>
      <c r="N19" s="143"/>
      <c r="O19" s="4"/>
      <c r="P19" s="4"/>
      <c r="Q19" s="4"/>
      <c r="R19" s="4"/>
      <c r="S19" s="4"/>
      <c r="T19" s="4"/>
    </row>
    <row r="20" spans="1:20" x14ac:dyDescent="0.2">
      <c r="A20" s="4"/>
      <c r="B20" s="216">
        <f>IF('Historical Contributions'!B20=0," ",'Historical Contributions'!B20)</f>
        <v>118</v>
      </c>
      <c r="C20" s="189">
        <f>'Historical Contributions'!C20*Inflation!H$10</f>
        <v>0</v>
      </c>
      <c r="D20" s="189">
        <f>'Historical Contributions'!D20*Inflation!I$10</f>
        <v>0</v>
      </c>
      <c r="E20" s="189">
        <f>'Historical Contributions'!E20*Inflation!J$10</f>
        <v>0</v>
      </c>
      <c r="F20" s="189">
        <f>'Historical Contributions'!F20*Inflation!K$10</f>
        <v>0</v>
      </c>
      <c r="G20" s="199">
        <f t="shared" si="1"/>
        <v>0</v>
      </c>
      <c r="H20" s="227">
        <f t="shared" si="1"/>
        <v>0</v>
      </c>
      <c r="I20" s="227">
        <f t="shared" si="2"/>
        <v>0</v>
      </c>
      <c r="J20" s="199">
        <f t="shared" si="0"/>
        <v>0</v>
      </c>
      <c r="K20" s="199">
        <f t="shared" si="0"/>
        <v>0</v>
      </c>
      <c r="L20" s="199">
        <f t="shared" si="0"/>
        <v>0</v>
      </c>
      <c r="M20" s="199">
        <f t="shared" si="0"/>
        <v>0</v>
      </c>
      <c r="N20" s="143"/>
      <c r="O20" s="4"/>
      <c r="P20" s="4"/>
      <c r="Q20" s="4"/>
      <c r="R20" s="4"/>
      <c r="S20" s="4"/>
      <c r="T20" s="4"/>
    </row>
    <row r="21" spans="1:20" x14ac:dyDescent="0.2">
      <c r="A21" s="4"/>
      <c r="B21" s="72" t="s">
        <v>36</v>
      </c>
      <c r="C21" s="184">
        <f t="shared" ref="C21:M21" si="3">SUM(C8:C20)</f>
        <v>3922231.6978281396</v>
      </c>
      <c r="D21" s="184">
        <f t="shared" si="3"/>
        <v>3486850.692093024</v>
      </c>
      <c r="E21" s="184">
        <f t="shared" si="3"/>
        <v>311990.04511970532</v>
      </c>
      <c r="F21" s="184">
        <f t="shared" si="3"/>
        <v>149859.19989562797</v>
      </c>
      <c r="G21" s="184">
        <f t="shared" si="3"/>
        <v>1316233.3123694523</v>
      </c>
      <c r="H21" s="227">
        <f t="shared" si="1"/>
        <v>1316233.3123694523</v>
      </c>
      <c r="I21" s="184">
        <f t="shared" si="3"/>
        <v>1312596.9697704881</v>
      </c>
      <c r="J21" s="184">
        <f t="shared" si="3"/>
        <v>1316233.3123694523</v>
      </c>
      <c r="K21" s="184">
        <f t="shared" si="3"/>
        <v>1316233.3123694523</v>
      </c>
      <c r="L21" s="184">
        <f t="shared" si="3"/>
        <v>1316233.3123694523</v>
      </c>
      <c r="M21" s="184">
        <f t="shared" si="3"/>
        <v>1316233.3123694523</v>
      </c>
      <c r="N21" s="143"/>
      <c r="O21" s="4"/>
      <c r="P21" s="4"/>
      <c r="Q21" s="4"/>
      <c r="R21" s="4"/>
      <c r="S21" s="4"/>
      <c r="T21" s="4"/>
    </row>
    <row r="22" spans="1:20" x14ac:dyDescent="0.2">
      <c r="A22" s="4"/>
      <c r="B22" s="4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43"/>
      <c r="O22" s="4"/>
      <c r="P22" s="4"/>
      <c r="Q22" s="4"/>
      <c r="R22" s="4"/>
      <c r="S22" s="4"/>
      <c r="T22" s="4"/>
    </row>
    <row r="23" spans="1:20" x14ac:dyDescent="0.2">
      <c r="A23" s="4"/>
      <c r="B23" s="4"/>
      <c r="C23" s="4"/>
      <c r="D23" s="4"/>
      <c r="E23" s="4"/>
      <c r="F23" s="4"/>
      <c r="G23" s="4"/>
      <c r="H23" s="4"/>
      <c r="I23" s="181"/>
      <c r="J23" s="181"/>
      <c r="K23" s="181"/>
      <c r="L23" s="181"/>
      <c r="M23" s="181"/>
      <c r="N23" s="143"/>
      <c r="O23" s="4"/>
      <c r="P23" s="4"/>
      <c r="Q23" s="4"/>
      <c r="R23" s="4"/>
      <c r="S23" s="4"/>
      <c r="T23" s="4"/>
    </row>
    <row r="24" spans="1:20" x14ac:dyDescent="0.2">
      <c r="A24" s="4"/>
      <c r="B24" s="4"/>
      <c r="C24" s="4"/>
      <c r="D24" s="4"/>
      <c r="E24" s="4"/>
      <c r="F24" s="4"/>
      <c r="G24" s="4"/>
      <c r="H24" s="228" t="s">
        <v>350</v>
      </c>
      <c r="I24" s="229" t="s">
        <v>268</v>
      </c>
      <c r="J24" s="4"/>
      <c r="K24" s="4"/>
      <c r="L24" s="4"/>
      <c r="M24" s="4"/>
      <c r="N24" s="143"/>
      <c r="O24" s="4"/>
      <c r="P24" s="4"/>
      <c r="Q24" s="4"/>
      <c r="R24" s="4"/>
      <c r="S24" s="4"/>
      <c r="T24" s="4"/>
    </row>
    <row r="25" spans="1:20" x14ac:dyDescent="0.2">
      <c r="A25" s="4"/>
      <c r="B25" s="34" t="s">
        <v>194</v>
      </c>
      <c r="C25" s="4"/>
      <c r="D25" s="4"/>
      <c r="E25" s="4"/>
      <c r="F25" s="4"/>
      <c r="G25" s="4"/>
      <c r="H25" s="228" t="s">
        <v>349</v>
      </c>
      <c r="I25" s="230">
        <v>0.57936616715399603</v>
      </c>
      <c r="J25" s="4"/>
      <c r="K25" s="4"/>
      <c r="L25" s="4"/>
      <c r="M25" s="4"/>
      <c r="N25" s="143"/>
      <c r="O25" s="4"/>
      <c r="P25" s="4"/>
      <c r="Q25" s="4"/>
      <c r="R25" s="4"/>
      <c r="S25" s="4"/>
      <c r="T25" s="4"/>
    </row>
    <row r="26" spans="1:20" x14ac:dyDescent="0.2">
      <c r="A26" s="4"/>
      <c r="B26" s="4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143"/>
      <c r="O26" s="4"/>
      <c r="P26" s="4"/>
      <c r="Q26" s="4"/>
      <c r="R26" s="4"/>
      <c r="S26" s="4"/>
      <c r="T26" s="4"/>
    </row>
    <row r="27" spans="1:20" x14ac:dyDescent="0.2">
      <c r="A27" s="4"/>
      <c r="B27" s="4"/>
      <c r="C27" s="288" t="s">
        <v>340</v>
      </c>
      <c r="D27" s="289"/>
      <c r="E27" s="289"/>
      <c r="F27" s="289"/>
      <c r="G27" s="289"/>
      <c r="H27" s="289"/>
      <c r="I27" s="289"/>
      <c r="J27" s="289"/>
      <c r="K27" s="289"/>
      <c r="L27" s="289"/>
      <c r="M27" s="290"/>
      <c r="N27" s="143"/>
      <c r="O27" s="4"/>
      <c r="P27" s="4"/>
      <c r="Q27" s="4"/>
      <c r="R27" s="4"/>
      <c r="S27" s="4"/>
      <c r="T27" s="4"/>
    </row>
    <row r="28" spans="1:20" ht="25.5" x14ac:dyDescent="0.2">
      <c r="A28" s="4"/>
      <c r="B28" s="3" t="s">
        <v>35</v>
      </c>
      <c r="C28" s="3" t="s">
        <v>325</v>
      </c>
      <c r="D28" s="3" t="s">
        <v>326</v>
      </c>
      <c r="E28" s="3" t="s">
        <v>327</v>
      </c>
      <c r="F28" s="163" t="s">
        <v>328</v>
      </c>
      <c r="G28" s="3" t="s">
        <v>312</v>
      </c>
      <c r="H28" s="3" t="s">
        <v>313</v>
      </c>
      <c r="I28" s="3" t="s">
        <v>314</v>
      </c>
      <c r="J28" s="3" t="s">
        <v>315</v>
      </c>
      <c r="K28" s="3" t="s">
        <v>316</v>
      </c>
      <c r="L28" s="3" t="s">
        <v>317</v>
      </c>
      <c r="M28" s="172" t="s">
        <v>318</v>
      </c>
      <c r="N28" s="143"/>
      <c r="O28" s="4"/>
      <c r="P28" s="4"/>
      <c r="Q28" s="4"/>
      <c r="R28" s="4"/>
      <c r="S28" s="4"/>
      <c r="T28" s="4"/>
    </row>
    <row r="29" spans="1:20" x14ac:dyDescent="0.2">
      <c r="A29" s="4"/>
      <c r="B29" s="216">
        <f>IF('Historical Contributions'!B28=0," ",'Historical Contributions'!B28)</f>
        <v>102</v>
      </c>
      <c r="C29" s="189">
        <f>'Historical Contributions'!C28*Inflation!H$10</f>
        <v>0</v>
      </c>
      <c r="D29" s="189">
        <f>'Historical Contributions'!D28*Inflation!I$10</f>
        <v>0</v>
      </c>
      <c r="E29" s="189">
        <f>'Historical Contributions'!E28*Inflation!J$10</f>
        <v>0</v>
      </c>
      <c r="F29" s="189">
        <f>'Historical Contributions'!F28*Inflation!K$10</f>
        <v>0</v>
      </c>
      <c r="G29" s="199">
        <f>AVERAGE($F29)</f>
        <v>0</v>
      </c>
      <c r="H29" s="199">
        <f t="shared" ref="H29:M41" si="4">AVERAGE($F29)</f>
        <v>0</v>
      </c>
      <c r="I29" s="199">
        <f t="shared" si="4"/>
        <v>0</v>
      </c>
      <c r="J29" s="199">
        <f t="shared" si="4"/>
        <v>0</v>
      </c>
      <c r="K29" s="199">
        <f t="shared" si="4"/>
        <v>0</v>
      </c>
      <c r="L29" s="199">
        <f t="shared" si="4"/>
        <v>0</v>
      </c>
      <c r="M29" s="199">
        <f t="shared" si="4"/>
        <v>0</v>
      </c>
      <c r="N29" s="143"/>
      <c r="O29" s="4"/>
      <c r="P29" s="4"/>
      <c r="Q29" s="4"/>
      <c r="R29" s="4"/>
      <c r="S29" s="4"/>
      <c r="T29" s="4"/>
    </row>
    <row r="30" spans="1:20" x14ac:dyDescent="0.2">
      <c r="A30" s="4"/>
      <c r="B30" s="216">
        <f>IF('Historical Contributions'!B29=0," ",'Historical Contributions'!B29)</f>
        <v>104</v>
      </c>
      <c r="C30" s="189">
        <f>'Historical Contributions'!C29*Inflation!H$10</f>
        <v>0</v>
      </c>
      <c r="D30" s="189">
        <f>'Historical Contributions'!D29*Inflation!I$10</f>
        <v>0</v>
      </c>
      <c r="E30" s="189">
        <f>'Historical Contributions'!E29*Inflation!J$10</f>
        <v>0</v>
      </c>
      <c r="F30" s="189">
        <f>'Historical Contributions'!F29*Inflation!K$10</f>
        <v>0</v>
      </c>
      <c r="G30" s="199">
        <f t="shared" ref="G30:G41" si="5">AVERAGE($F30)</f>
        <v>0</v>
      </c>
      <c r="H30" s="199">
        <f t="shared" si="4"/>
        <v>0</v>
      </c>
      <c r="I30" s="199">
        <f t="shared" si="4"/>
        <v>0</v>
      </c>
      <c r="J30" s="199">
        <f t="shared" si="4"/>
        <v>0</v>
      </c>
      <c r="K30" s="199">
        <f t="shared" si="4"/>
        <v>0</v>
      </c>
      <c r="L30" s="199">
        <f t="shared" si="4"/>
        <v>0</v>
      </c>
      <c r="M30" s="199">
        <f t="shared" si="4"/>
        <v>0</v>
      </c>
      <c r="N30" s="143"/>
      <c r="O30" s="4"/>
      <c r="P30" s="4"/>
      <c r="Q30" s="4"/>
      <c r="R30" s="4"/>
      <c r="S30" s="4"/>
      <c r="T30" s="4"/>
    </row>
    <row r="31" spans="1:20" x14ac:dyDescent="0.2">
      <c r="A31" s="4"/>
      <c r="B31" s="216">
        <f>IF('Historical Contributions'!B30=0," ",'Historical Contributions'!B30)</f>
        <v>105</v>
      </c>
      <c r="C31" s="189">
        <f>'Historical Contributions'!C30*Inflation!H$10</f>
        <v>0</v>
      </c>
      <c r="D31" s="189">
        <f>'Historical Contributions'!D30*Inflation!I$10</f>
        <v>0</v>
      </c>
      <c r="E31" s="189">
        <f>'Historical Contributions'!E30*Inflation!J$10</f>
        <v>0</v>
      </c>
      <c r="F31" s="189">
        <f>'Historical Contributions'!F30*Inflation!K$10</f>
        <v>0</v>
      </c>
      <c r="G31" s="199">
        <f t="shared" si="5"/>
        <v>0</v>
      </c>
      <c r="H31" s="199">
        <f t="shared" si="4"/>
        <v>0</v>
      </c>
      <c r="I31" s="199">
        <f t="shared" si="4"/>
        <v>0</v>
      </c>
      <c r="J31" s="199">
        <f t="shared" si="4"/>
        <v>0</v>
      </c>
      <c r="K31" s="199">
        <f t="shared" si="4"/>
        <v>0</v>
      </c>
      <c r="L31" s="199">
        <f t="shared" si="4"/>
        <v>0</v>
      </c>
      <c r="M31" s="199">
        <f t="shared" si="4"/>
        <v>0</v>
      </c>
      <c r="N31" s="143"/>
      <c r="O31" s="4"/>
      <c r="P31" s="4"/>
      <c r="Q31" s="4"/>
      <c r="R31" s="4"/>
      <c r="S31" s="4"/>
      <c r="T31" s="4"/>
    </row>
    <row r="32" spans="1:20" x14ac:dyDescent="0.2">
      <c r="A32" s="4"/>
      <c r="B32" s="216">
        <f>IF('Historical Contributions'!B31=0," ",'Historical Contributions'!B31)</f>
        <v>106</v>
      </c>
      <c r="C32" s="189">
        <f>'Historical Contributions'!C31*Inflation!H$10</f>
        <v>0</v>
      </c>
      <c r="D32" s="189">
        <f>'Historical Contributions'!D31*Inflation!I$10</f>
        <v>92343.869767441865</v>
      </c>
      <c r="E32" s="189">
        <f>'Historical Contributions'!E31*Inflation!J$10</f>
        <v>91408.526703499083</v>
      </c>
      <c r="F32" s="189">
        <f>'Historical Contributions'!F31*Inflation!K$10</f>
        <v>0</v>
      </c>
      <c r="G32" s="199">
        <f t="shared" si="5"/>
        <v>0</v>
      </c>
      <c r="H32" s="199">
        <f t="shared" si="4"/>
        <v>0</v>
      </c>
      <c r="I32" s="199">
        <f t="shared" si="4"/>
        <v>0</v>
      </c>
      <c r="J32" s="199">
        <f t="shared" si="4"/>
        <v>0</v>
      </c>
      <c r="K32" s="199">
        <f t="shared" si="4"/>
        <v>0</v>
      </c>
      <c r="L32" s="199">
        <f t="shared" si="4"/>
        <v>0</v>
      </c>
      <c r="M32" s="199">
        <f t="shared" si="4"/>
        <v>0</v>
      </c>
      <c r="N32" s="143"/>
      <c r="O32" s="4"/>
      <c r="P32" s="4"/>
      <c r="Q32" s="4"/>
      <c r="R32" s="4"/>
      <c r="S32" s="4"/>
      <c r="T32" s="4"/>
    </row>
    <row r="33" spans="1:20" x14ac:dyDescent="0.2">
      <c r="A33" s="4"/>
      <c r="B33" s="216">
        <f>IF('Historical Contributions'!B32=0," ",'Historical Contributions'!B32)</f>
        <v>107</v>
      </c>
      <c r="C33" s="189">
        <f>'Historical Contributions'!C32*Inflation!H$10</f>
        <v>0</v>
      </c>
      <c r="D33" s="189">
        <f>'Historical Contributions'!D32*Inflation!I$10</f>
        <v>0</v>
      </c>
      <c r="E33" s="189">
        <f>'Historical Contributions'!E32*Inflation!J$10</f>
        <v>0</v>
      </c>
      <c r="F33" s="189">
        <f>'Historical Contributions'!F32*Inflation!K$10</f>
        <v>0</v>
      </c>
      <c r="G33" s="199">
        <f t="shared" si="5"/>
        <v>0</v>
      </c>
      <c r="H33" s="199">
        <f t="shared" si="4"/>
        <v>0</v>
      </c>
      <c r="I33" s="199">
        <f t="shared" si="4"/>
        <v>0</v>
      </c>
      <c r="J33" s="199">
        <f t="shared" si="4"/>
        <v>0</v>
      </c>
      <c r="K33" s="199">
        <f t="shared" si="4"/>
        <v>0</v>
      </c>
      <c r="L33" s="199">
        <f t="shared" si="4"/>
        <v>0</v>
      </c>
      <c r="M33" s="199">
        <f t="shared" si="4"/>
        <v>0</v>
      </c>
      <c r="N33" s="143"/>
      <c r="O33" s="4"/>
      <c r="P33" s="4"/>
      <c r="Q33" s="4"/>
      <c r="R33" s="4"/>
      <c r="S33" s="4"/>
      <c r="T33" s="4"/>
    </row>
    <row r="34" spans="1:20" x14ac:dyDescent="0.2">
      <c r="A34" s="4"/>
      <c r="B34" s="216">
        <f>IF('Historical Contributions'!B33=0," ",'Historical Contributions'!B33)</f>
        <v>108</v>
      </c>
      <c r="C34" s="189">
        <f>'Historical Contributions'!C33*Inflation!H$10</f>
        <v>0</v>
      </c>
      <c r="D34" s="189">
        <f>'Historical Contributions'!D33*Inflation!I$10</f>
        <v>0</v>
      </c>
      <c r="E34" s="189">
        <f>'Historical Contributions'!E33*Inflation!J$10</f>
        <v>0</v>
      </c>
      <c r="F34" s="189">
        <f>'Historical Contributions'!F33*Inflation!K$10</f>
        <v>0</v>
      </c>
      <c r="G34" s="199">
        <f t="shared" si="5"/>
        <v>0</v>
      </c>
      <c r="H34" s="199">
        <f t="shared" si="4"/>
        <v>0</v>
      </c>
      <c r="I34" s="199">
        <f t="shared" si="4"/>
        <v>0</v>
      </c>
      <c r="J34" s="199">
        <f t="shared" si="4"/>
        <v>0</v>
      </c>
      <c r="K34" s="199">
        <f t="shared" si="4"/>
        <v>0</v>
      </c>
      <c r="L34" s="199">
        <f t="shared" si="4"/>
        <v>0</v>
      </c>
      <c r="M34" s="199">
        <f t="shared" si="4"/>
        <v>0</v>
      </c>
      <c r="N34" s="143"/>
      <c r="O34" s="4"/>
      <c r="P34" s="4"/>
      <c r="Q34" s="4"/>
      <c r="R34" s="4"/>
      <c r="S34" s="4"/>
      <c r="T34" s="4"/>
    </row>
    <row r="35" spans="1:20" x14ac:dyDescent="0.2">
      <c r="A35" s="4"/>
      <c r="B35" s="216">
        <f>IF('Historical Contributions'!B34=0," ",'Historical Contributions'!B34)</f>
        <v>109</v>
      </c>
      <c r="C35" s="189">
        <f>'Historical Contributions'!C34*Inflation!H$10</f>
        <v>0</v>
      </c>
      <c r="D35" s="189">
        <f>'Historical Contributions'!D34*Inflation!I$10</f>
        <v>0</v>
      </c>
      <c r="E35" s="189">
        <f>'Historical Contributions'!E34*Inflation!J$10</f>
        <v>0</v>
      </c>
      <c r="F35" s="189">
        <f>'Historical Contributions'!F34*Inflation!K$10</f>
        <v>0</v>
      </c>
      <c r="G35" s="199">
        <f t="shared" si="5"/>
        <v>0</v>
      </c>
      <c r="H35" s="199">
        <f t="shared" si="4"/>
        <v>0</v>
      </c>
      <c r="I35" s="199">
        <f t="shared" si="4"/>
        <v>0</v>
      </c>
      <c r="J35" s="199">
        <f t="shared" si="4"/>
        <v>0</v>
      </c>
      <c r="K35" s="199">
        <f t="shared" si="4"/>
        <v>0</v>
      </c>
      <c r="L35" s="199">
        <f t="shared" si="4"/>
        <v>0</v>
      </c>
      <c r="M35" s="199">
        <f t="shared" si="4"/>
        <v>0</v>
      </c>
      <c r="N35" s="143"/>
      <c r="O35" s="4"/>
      <c r="P35" s="4"/>
      <c r="Q35" s="4"/>
      <c r="R35" s="4"/>
      <c r="S35" s="4"/>
      <c r="T35" s="4"/>
    </row>
    <row r="36" spans="1:20" x14ac:dyDescent="0.2">
      <c r="A36" s="4"/>
      <c r="B36" s="216">
        <f>IF('Historical Contributions'!B35=0," ",'Historical Contributions'!B35)</f>
        <v>110</v>
      </c>
      <c r="C36" s="189">
        <f>'Historical Contributions'!C35*Inflation!H$10</f>
        <v>0</v>
      </c>
      <c r="D36" s="189">
        <f>'Historical Contributions'!D35*Inflation!I$10</f>
        <v>0</v>
      </c>
      <c r="E36" s="189">
        <f>'Historical Contributions'!E35*Inflation!J$10</f>
        <v>0</v>
      </c>
      <c r="F36" s="189">
        <f>'Historical Contributions'!F35*Inflation!K$10</f>
        <v>0</v>
      </c>
      <c r="G36" s="199">
        <f t="shared" si="5"/>
        <v>0</v>
      </c>
      <c r="H36" s="199">
        <f t="shared" si="4"/>
        <v>0</v>
      </c>
      <c r="I36" s="199">
        <f t="shared" si="4"/>
        <v>0</v>
      </c>
      <c r="J36" s="199">
        <f t="shared" si="4"/>
        <v>0</v>
      </c>
      <c r="K36" s="199">
        <f t="shared" si="4"/>
        <v>0</v>
      </c>
      <c r="L36" s="199">
        <f t="shared" si="4"/>
        <v>0</v>
      </c>
      <c r="M36" s="199">
        <f t="shared" si="4"/>
        <v>0</v>
      </c>
      <c r="N36" s="143"/>
      <c r="O36" s="4"/>
      <c r="P36" s="4"/>
      <c r="Q36" s="4"/>
      <c r="R36" s="4"/>
      <c r="S36" s="4"/>
      <c r="T36" s="4"/>
    </row>
    <row r="37" spans="1:20" x14ac:dyDescent="0.2">
      <c r="A37" s="4"/>
      <c r="B37" s="216">
        <f>IF('Historical Contributions'!B36=0," ",'Historical Contributions'!B36)</f>
        <v>111</v>
      </c>
      <c r="C37" s="189">
        <f>'Historical Contributions'!C36*Inflation!H$10</f>
        <v>0</v>
      </c>
      <c r="D37" s="189">
        <f>'Historical Contributions'!D36*Inflation!I$10</f>
        <v>0</v>
      </c>
      <c r="E37" s="189">
        <f>'Historical Contributions'!E36*Inflation!J$10</f>
        <v>0</v>
      </c>
      <c r="F37" s="189">
        <f>'Historical Contributions'!F36*Inflation!K$10</f>
        <v>0</v>
      </c>
      <c r="G37" s="199">
        <f t="shared" si="5"/>
        <v>0</v>
      </c>
      <c r="H37" s="199">
        <f t="shared" si="4"/>
        <v>0</v>
      </c>
      <c r="I37" s="199">
        <f t="shared" si="4"/>
        <v>0</v>
      </c>
      <c r="J37" s="199">
        <f t="shared" si="4"/>
        <v>0</v>
      </c>
      <c r="K37" s="199">
        <f t="shared" si="4"/>
        <v>0</v>
      </c>
      <c r="L37" s="199">
        <f t="shared" si="4"/>
        <v>0</v>
      </c>
      <c r="M37" s="199">
        <f t="shared" si="4"/>
        <v>0</v>
      </c>
      <c r="N37" s="143"/>
      <c r="O37" s="4"/>
      <c r="P37" s="4"/>
      <c r="Q37" s="4"/>
      <c r="R37" s="4"/>
      <c r="S37" s="4"/>
      <c r="T37" s="4"/>
    </row>
    <row r="38" spans="1:20" x14ac:dyDescent="0.2">
      <c r="A38" s="4"/>
      <c r="B38" s="216">
        <f>IF('Historical Contributions'!B37=0," ",'Historical Contributions'!B37)</f>
        <v>114</v>
      </c>
      <c r="C38" s="189">
        <f>'Historical Contributions'!C37*Inflation!H$10</f>
        <v>0</v>
      </c>
      <c r="D38" s="189">
        <f>'Historical Contributions'!D37*Inflation!I$10</f>
        <v>0</v>
      </c>
      <c r="E38" s="189">
        <f>'Historical Contributions'!E37*Inflation!J$10</f>
        <v>0</v>
      </c>
      <c r="F38" s="189">
        <f>'Historical Contributions'!F37*Inflation!K$10</f>
        <v>0</v>
      </c>
      <c r="G38" s="199">
        <f t="shared" si="5"/>
        <v>0</v>
      </c>
      <c r="H38" s="199">
        <f t="shared" si="4"/>
        <v>0</v>
      </c>
      <c r="I38" s="199">
        <f t="shared" si="4"/>
        <v>0</v>
      </c>
      <c r="J38" s="199">
        <f t="shared" si="4"/>
        <v>0</v>
      </c>
      <c r="K38" s="199">
        <f t="shared" si="4"/>
        <v>0</v>
      </c>
      <c r="L38" s="199">
        <f t="shared" si="4"/>
        <v>0</v>
      </c>
      <c r="M38" s="199">
        <f t="shared" si="4"/>
        <v>0</v>
      </c>
      <c r="N38" s="143"/>
      <c r="O38" s="4"/>
      <c r="P38" s="4"/>
      <c r="Q38" s="4"/>
      <c r="R38" s="4"/>
      <c r="S38" s="4"/>
      <c r="T38" s="4"/>
    </row>
    <row r="39" spans="1:20" x14ac:dyDescent="0.2">
      <c r="A39" s="4"/>
      <c r="B39" s="216">
        <f>IF('Historical Contributions'!B38=0," ",'Historical Contributions'!B38)</f>
        <v>115</v>
      </c>
      <c r="C39" s="189">
        <f>'Historical Contributions'!C38*Inflation!H$10</f>
        <v>0</v>
      </c>
      <c r="D39" s="189">
        <f>'Historical Contributions'!D38*Inflation!I$10</f>
        <v>0</v>
      </c>
      <c r="E39" s="189">
        <f>'Historical Contributions'!E38*Inflation!J$10</f>
        <v>0</v>
      </c>
      <c r="F39" s="189">
        <f>'Historical Contributions'!F38*Inflation!K$10</f>
        <v>0</v>
      </c>
      <c r="G39" s="199">
        <f t="shared" si="5"/>
        <v>0</v>
      </c>
      <c r="H39" s="199">
        <f t="shared" si="4"/>
        <v>0</v>
      </c>
      <c r="I39" s="199">
        <f t="shared" si="4"/>
        <v>0</v>
      </c>
      <c r="J39" s="199">
        <f t="shared" si="4"/>
        <v>0</v>
      </c>
      <c r="K39" s="199">
        <f t="shared" si="4"/>
        <v>0</v>
      </c>
      <c r="L39" s="199">
        <f t="shared" si="4"/>
        <v>0</v>
      </c>
      <c r="M39" s="199">
        <f t="shared" si="4"/>
        <v>0</v>
      </c>
      <c r="N39" s="143"/>
      <c r="O39" s="4"/>
      <c r="P39" s="4"/>
      <c r="Q39" s="4"/>
      <c r="R39" s="4"/>
      <c r="S39" s="4"/>
      <c r="T39" s="4"/>
    </row>
    <row r="40" spans="1:20" x14ac:dyDescent="0.2">
      <c r="A40" s="4"/>
      <c r="B40" s="216">
        <f>IF('Historical Contributions'!B39=0," ",'Historical Contributions'!B39)</f>
        <v>116</v>
      </c>
      <c r="C40" s="189">
        <f>'Historical Contributions'!C39*Inflation!H$10</f>
        <v>28623.713881019827</v>
      </c>
      <c r="D40" s="189">
        <f>'Historical Contributions'!D39*Inflation!I$10</f>
        <v>0</v>
      </c>
      <c r="E40" s="189">
        <f>'Historical Contributions'!E39*Inflation!J$10</f>
        <v>0</v>
      </c>
      <c r="F40" s="189">
        <f>'Historical Contributions'!F39*Inflation!K$10</f>
        <v>0</v>
      </c>
      <c r="G40" s="199">
        <f t="shared" si="5"/>
        <v>0</v>
      </c>
      <c r="H40" s="199">
        <f t="shared" si="4"/>
        <v>0</v>
      </c>
      <c r="I40" s="199">
        <f t="shared" si="4"/>
        <v>0</v>
      </c>
      <c r="J40" s="199">
        <f t="shared" si="4"/>
        <v>0</v>
      </c>
      <c r="K40" s="199">
        <f t="shared" si="4"/>
        <v>0</v>
      </c>
      <c r="L40" s="199">
        <f t="shared" si="4"/>
        <v>0</v>
      </c>
      <c r="M40" s="199">
        <f t="shared" si="4"/>
        <v>0</v>
      </c>
      <c r="N40" s="143"/>
      <c r="O40" s="4"/>
      <c r="P40" s="4"/>
      <c r="Q40" s="4"/>
      <c r="R40" s="4"/>
      <c r="S40" s="4"/>
      <c r="T40" s="4"/>
    </row>
    <row r="41" spans="1:20" x14ac:dyDescent="0.2">
      <c r="A41" s="4"/>
      <c r="B41" s="216">
        <f>IF('Historical Contributions'!B40=0," ",'Historical Contributions'!B40)</f>
        <v>118</v>
      </c>
      <c r="C41" s="189">
        <f>'Historical Contributions'!C40*Inflation!H$10</f>
        <v>0</v>
      </c>
      <c r="D41" s="189">
        <f>'Historical Contributions'!D40*Inflation!I$10</f>
        <v>0</v>
      </c>
      <c r="E41" s="189">
        <f>'Historical Contributions'!E40*Inflation!J$10</f>
        <v>0</v>
      </c>
      <c r="F41" s="189">
        <f>'Historical Contributions'!F40*Inflation!K$10</f>
        <v>0</v>
      </c>
      <c r="G41" s="199">
        <f t="shared" si="5"/>
        <v>0</v>
      </c>
      <c r="H41" s="199">
        <f t="shared" si="4"/>
        <v>0</v>
      </c>
      <c r="I41" s="199">
        <f t="shared" si="4"/>
        <v>0</v>
      </c>
      <c r="J41" s="199">
        <f t="shared" si="4"/>
        <v>0</v>
      </c>
      <c r="K41" s="199">
        <f t="shared" si="4"/>
        <v>0</v>
      </c>
      <c r="L41" s="199">
        <f t="shared" si="4"/>
        <v>0</v>
      </c>
      <c r="M41" s="199">
        <f t="shared" si="4"/>
        <v>0</v>
      </c>
      <c r="N41" s="143"/>
      <c r="O41" s="4"/>
      <c r="P41" s="4"/>
      <c r="Q41" s="4"/>
      <c r="R41" s="4"/>
      <c r="S41" s="4"/>
      <c r="T41" s="4"/>
    </row>
    <row r="42" spans="1:20" x14ac:dyDescent="0.2">
      <c r="A42" s="4"/>
      <c r="B42" s="72" t="s">
        <v>36</v>
      </c>
      <c r="C42" s="184">
        <f t="shared" ref="C42:M42" si="6">SUM(C29:C41)</f>
        <v>28623.713881019827</v>
      </c>
      <c r="D42" s="184">
        <f t="shared" si="6"/>
        <v>92343.869767441865</v>
      </c>
      <c r="E42" s="184">
        <f t="shared" si="6"/>
        <v>91408.526703499083</v>
      </c>
      <c r="F42" s="184">
        <f t="shared" si="6"/>
        <v>0</v>
      </c>
      <c r="G42" s="184">
        <f t="shared" si="6"/>
        <v>0</v>
      </c>
      <c r="H42" s="184">
        <f t="shared" si="6"/>
        <v>0</v>
      </c>
      <c r="I42" s="184">
        <f t="shared" si="6"/>
        <v>0</v>
      </c>
      <c r="J42" s="184">
        <f t="shared" si="6"/>
        <v>0</v>
      </c>
      <c r="K42" s="184">
        <f t="shared" si="6"/>
        <v>0</v>
      </c>
      <c r="L42" s="184">
        <f t="shared" si="6"/>
        <v>0</v>
      </c>
      <c r="M42" s="184">
        <f t="shared" si="6"/>
        <v>0</v>
      </c>
      <c r="N42" s="143"/>
      <c r="O42" s="4"/>
      <c r="P42" s="4"/>
      <c r="Q42" s="4"/>
      <c r="R42" s="4"/>
      <c r="S42" s="4"/>
      <c r="T42" s="4"/>
    </row>
    <row r="43" spans="1:20" x14ac:dyDescent="0.2">
      <c r="A43" s="4"/>
      <c r="B43" s="4" t="s">
        <v>231</v>
      </c>
      <c r="C43" s="198">
        <f>'Historical Contributions'!C41*Inflation!H10-C42</f>
        <v>0</v>
      </c>
      <c r="D43" s="198">
        <f>'Historical Contributions'!D41*Inflation!I10-D42</f>
        <v>0</v>
      </c>
      <c r="E43" s="198">
        <f>'Historical Contributions'!E41*Inflation!J10-E42</f>
        <v>0</v>
      </c>
      <c r="F43" s="198">
        <f>'Historical Contributions'!F41*Inflation!K10-F42</f>
        <v>0</v>
      </c>
      <c r="G43" s="143"/>
      <c r="H43" s="143"/>
      <c r="I43" s="143"/>
      <c r="J43" s="143"/>
      <c r="K43" s="143"/>
      <c r="L43" s="143"/>
      <c r="M43" s="143"/>
      <c r="N43" s="143"/>
      <c r="O43" s="4"/>
      <c r="P43" s="4"/>
      <c r="Q43" s="4"/>
      <c r="R43" s="4"/>
      <c r="S43" s="4"/>
      <c r="T43" s="4"/>
    </row>
    <row r="44" spans="1:20" x14ac:dyDescent="0.2">
      <c r="A44" s="4"/>
      <c r="B44" s="121" t="s">
        <v>281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43"/>
      <c r="O44" s="4"/>
      <c r="P44" s="4"/>
      <c r="Q44" s="4"/>
      <c r="R44" s="4"/>
      <c r="S44" s="4"/>
      <c r="T44" s="4"/>
    </row>
    <row r="45" spans="1:20" s="119" customFormat="1" x14ac:dyDescent="0.2">
      <c r="A45" s="120"/>
      <c r="B45" s="309" t="s">
        <v>309</v>
      </c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1"/>
      <c r="N45" s="143"/>
      <c r="O45" s="120"/>
      <c r="P45" s="120"/>
      <c r="Q45" s="120"/>
      <c r="R45" s="120"/>
      <c r="S45" s="120"/>
      <c r="T45" s="120"/>
    </row>
    <row r="46" spans="1:20" s="119" customFormat="1" x14ac:dyDescent="0.2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43"/>
      <c r="O46" s="120"/>
      <c r="P46" s="120"/>
      <c r="Q46" s="120"/>
      <c r="R46" s="120"/>
      <c r="S46" s="120"/>
      <c r="T46" s="120"/>
    </row>
    <row r="47" spans="1:20" s="119" customFormat="1" x14ac:dyDescent="0.2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43"/>
      <c r="O47" s="120"/>
      <c r="P47" s="120"/>
      <c r="Q47" s="120"/>
      <c r="R47" s="120"/>
      <c r="S47" s="120"/>
      <c r="T47" s="120"/>
    </row>
    <row r="48" spans="1:20" x14ac:dyDescent="0.2">
      <c r="A48" s="4"/>
      <c r="B48" s="34" t="s">
        <v>219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143"/>
      <c r="O48" s="4"/>
      <c r="P48" s="4"/>
      <c r="Q48" s="4"/>
      <c r="R48" s="4"/>
      <c r="S48" s="4"/>
      <c r="T48" s="4"/>
    </row>
    <row r="49" spans="1:20" x14ac:dyDescent="0.2">
      <c r="A49" s="4"/>
      <c r="B49" s="4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143"/>
      <c r="O49" s="4"/>
      <c r="P49" s="4"/>
      <c r="Q49" s="4"/>
      <c r="R49" s="4"/>
      <c r="S49" s="4"/>
      <c r="T49" s="4"/>
    </row>
    <row r="50" spans="1:20" x14ac:dyDescent="0.2">
      <c r="A50" s="4"/>
      <c r="B50" s="4"/>
      <c r="C50" s="291" t="s">
        <v>195</v>
      </c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143"/>
      <c r="O50" s="4"/>
      <c r="P50" s="4"/>
      <c r="Q50" s="4"/>
      <c r="R50" s="4"/>
      <c r="S50" s="4"/>
      <c r="T50" s="4"/>
    </row>
    <row r="51" spans="1:20" ht="25.5" x14ac:dyDescent="0.2">
      <c r="A51" s="4"/>
      <c r="B51" s="3" t="s">
        <v>35</v>
      </c>
      <c r="C51" s="3" t="s">
        <v>325</v>
      </c>
      <c r="D51" s="3" t="s">
        <v>326</v>
      </c>
      <c r="E51" s="3" t="s">
        <v>327</v>
      </c>
      <c r="F51" s="163" t="s">
        <v>328</v>
      </c>
      <c r="G51" s="3" t="s">
        <v>312</v>
      </c>
      <c r="H51" s="3" t="s">
        <v>313</v>
      </c>
      <c r="I51" s="3" t="s">
        <v>314</v>
      </c>
      <c r="J51" s="3" t="s">
        <v>315</v>
      </c>
      <c r="K51" s="3" t="s">
        <v>316</v>
      </c>
      <c r="L51" s="3" t="s">
        <v>317</v>
      </c>
      <c r="M51" s="172" t="s">
        <v>318</v>
      </c>
      <c r="N51" s="143"/>
      <c r="O51" s="4"/>
      <c r="P51" s="4"/>
      <c r="Q51" s="4"/>
      <c r="R51" s="4"/>
      <c r="S51" s="4"/>
      <c r="T51" s="4"/>
    </row>
    <row r="52" spans="1:20" x14ac:dyDescent="0.2">
      <c r="A52" s="4"/>
      <c r="B52" s="216">
        <f>IF('Historical Contributions'!B48=0," ",'Historical Contributions'!B48)</f>
        <v>102</v>
      </c>
      <c r="C52" s="219">
        <f>'Historical Contributions'!C48</f>
        <v>0.43418291168185608</v>
      </c>
      <c r="D52" s="219">
        <f>'Historical Contributions'!D48</f>
        <v>0.56472218873331348</v>
      </c>
      <c r="E52" s="219">
        <f>'Historical Contributions'!E48</f>
        <v>0.62169482148120803</v>
      </c>
      <c r="F52" s="219">
        <f>'Historical Contributions'!F48</f>
        <v>0.58017711099217339</v>
      </c>
      <c r="G52" s="218">
        <f>AVERAGE($D52:$F52)</f>
        <v>0.58886470706889826</v>
      </c>
      <c r="H52" s="218">
        <f t="shared" ref="H52:M63" si="7">AVERAGE($D52:$F52)</f>
        <v>0.58886470706889826</v>
      </c>
      <c r="I52" s="218">
        <f t="shared" si="7"/>
        <v>0.58886470706889826</v>
      </c>
      <c r="J52" s="218">
        <f t="shared" si="7"/>
        <v>0.58886470706889826</v>
      </c>
      <c r="K52" s="218">
        <f t="shared" si="7"/>
        <v>0.58886470706889826</v>
      </c>
      <c r="L52" s="218">
        <f t="shared" si="7"/>
        <v>0.58886470706889826</v>
      </c>
      <c r="M52" s="218">
        <f t="shared" si="7"/>
        <v>0.58886470706889826</v>
      </c>
      <c r="N52" s="143"/>
      <c r="O52" s="4"/>
      <c r="P52" s="4"/>
      <c r="Q52" s="4"/>
      <c r="R52" s="4"/>
      <c r="S52" s="4"/>
      <c r="T52" s="4"/>
    </row>
    <row r="53" spans="1:20" x14ac:dyDescent="0.2">
      <c r="A53" s="4"/>
      <c r="B53" s="216">
        <f>IF('Historical Contributions'!B49=0," ",'Historical Contributions'!B49)</f>
        <v>104</v>
      </c>
      <c r="C53" s="220">
        <f>'Historical Contributions'!C49</f>
        <v>1</v>
      </c>
      <c r="D53" s="219">
        <f>'Historical Contributions'!D49</f>
        <v>0.41664002305796205</v>
      </c>
      <c r="E53" s="219">
        <f>'Historical Contributions'!E49</f>
        <v>0</v>
      </c>
      <c r="F53" s="219">
        <f>'Historical Contributions'!F49</f>
        <v>0</v>
      </c>
      <c r="G53" s="218">
        <f t="shared" ref="G53:G63" si="8">AVERAGE($D53:$F53)</f>
        <v>0.13888000768598735</v>
      </c>
      <c r="H53" s="218">
        <f t="shared" si="7"/>
        <v>0.13888000768598735</v>
      </c>
      <c r="I53" s="218">
        <f t="shared" si="7"/>
        <v>0.13888000768598735</v>
      </c>
      <c r="J53" s="218">
        <f t="shared" si="7"/>
        <v>0.13888000768598735</v>
      </c>
      <c r="K53" s="218">
        <f t="shared" si="7"/>
        <v>0.13888000768598735</v>
      </c>
      <c r="L53" s="218">
        <f t="shared" si="7"/>
        <v>0.13888000768598735</v>
      </c>
      <c r="M53" s="218">
        <f t="shared" si="7"/>
        <v>0.13888000768598735</v>
      </c>
      <c r="N53" s="143"/>
      <c r="O53" s="4"/>
      <c r="P53" s="4"/>
      <c r="Q53" s="4"/>
      <c r="R53" s="4"/>
      <c r="S53" s="4"/>
      <c r="T53" s="4"/>
    </row>
    <row r="54" spans="1:20" x14ac:dyDescent="0.2">
      <c r="A54" s="4"/>
      <c r="B54" s="216">
        <f>IF('Historical Contributions'!B50=0," ",'Historical Contributions'!B50)</f>
        <v>105</v>
      </c>
      <c r="C54" s="219">
        <f>'Historical Contributions'!C50</f>
        <v>0.33305958035585026</v>
      </c>
      <c r="D54" s="219">
        <f>'Historical Contributions'!D50</f>
        <v>0.50607939884017494</v>
      </c>
      <c r="E54" s="219">
        <f>'Historical Contributions'!E50</f>
        <v>0.54894413424958044</v>
      </c>
      <c r="F54" s="219">
        <f>'Historical Contributions'!F50</f>
        <v>0.53808697798662919</v>
      </c>
      <c r="G54" s="218">
        <f t="shared" si="8"/>
        <v>0.53103683702546156</v>
      </c>
      <c r="H54" s="218">
        <f t="shared" si="7"/>
        <v>0.53103683702546156</v>
      </c>
      <c r="I54" s="218">
        <f t="shared" si="7"/>
        <v>0.53103683702546156</v>
      </c>
      <c r="J54" s="218">
        <f t="shared" si="7"/>
        <v>0.53103683702546156</v>
      </c>
      <c r="K54" s="218">
        <f t="shared" si="7"/>
        <v>0.53103683702546156</v>
      </c>
      <c r="L54" s="218">
        <f t="shared" si="7"/>
        <v>0.53103683702546156</v>
      </c>
      <c r="M54" s="218">
        <f t="shared" si="7"/>
        <v>0.53103683702546156</v>
      </c>
      <c r="N54" s="143"/>
      <c r="O54" s="4"/>
      <c r="P54" s="4"/>
      <c r="Q54" s="4"/>
      <c r="R54" s="4"/>
      <c r="S54" s="4"/>
      <c r="T54" s="4"/>
    </row>
    <row r="55" spans="1:20" x14ac:dyDescent="0.2">
      <c r="A55" s="4"/>
      <c r="B55" s="216">
        <f>IF('Historical Contributions'!B51=0," ",'Historical Contributions'!B51)</f>
        <v>106</v>
      </c>
      <c r="C55" s="219">
        <f>'Historical Contributions'!C51</f>
        <v>0.43442855228975508</v>
      </c>
      <c r="D55" s="219">
        <f>'Historical Contributions'!D51</f>
        <v>0.51220933587854711</v>
      </c>
      <c r="E55" s="219">
        <f>'Historical Contributions'!E51</f>
        <v>0.54973893003061114</v>
      </c>
      <c r="F55" s="219">
        <f>'Historical Contributions'!F51</f>
        <v>0.55297151852281956</v>
      </c>
      <c r="G55" s="218">
        <f t="shared" si="8"/>
        <v>0.53830659481065934</v>
      </c>
      <c r="H55" s="218">
        <f t="shared" si="7"/>
        <v>0.53830659481065934</v>
      </c>
      <c r="I55" s="218">
        <f t="shared" si="7"/>
        <v>0.53830659481065934</v>
      </c>
      <c r="J55" s="218">
        <f t="shared" si="7"/>
        <v>0.53830659481065934</v>
      </c>
      <c r="K55" s="218">
        <f t="shared" si="7"/>
        <v>0.53830659481065934</v>
      </c>
      <c r="L55" s="218">
        <f t="shared" si="7"/>
        <v>0.53830659481065934</v>
      </c>
      <c r="M55" s="218">
        <f t="shared" si="7"/>
        <v>0.53830659481065934</v>
      </c>
      <c r="N55" s="143"/>
      <c r="O55" s="4"/>
      <c r="P55" s="4"/>
      <c r="Q55" s="4"/>
      <c r="R55" s="4"/>
      <c r="S55" s="4"/>
      <c r="T55" s="4"/>
    </row>
    <row r="56" spans="1:20" x14ac:dyDescent="0.2">
      <c r="A56" s="4"/>
      <c r="B56" s="216">
        <f>IF('Historical Contributions'!B52=0," ",'Historical Contributions'!B52)</f>
        <v>107</v>
      </c>
      <c r="C56" s="219">
        <f>'Historical Contributions'!C52</f>
        <v>0.72644904647420039</v>
      </c>
      <c r="D56" s="219">
        <f>'Historical Contributions'!D52</f>
        <v>0.71013083907203789</v>
      </c>
      <c r="E56" s="219">
        <f>'Historical Contributions'!E52</f>
        <v>0.46886893687861536</v>
      </c>
      <c r="F56" s="219">
        <f>'Historical Contributions'!F52</f>
        <v>0.5066780903042496</v>
      </c>
      <c r="G56" s="218">
        <f t="shared" si="8"/>
        <v>0.5618926220849676</v>
      </c>
      <c r="H56" s="218">
        <f t="shared" si="7"/>
        <v>0.5618926220849676</v>
      </c>
      <c r="I56" s="218">
        <f t="shared" si="7"/>
        <v>0.5618926220849676</v>
      </c>
      <c r="J56" s="218">
        <f t="shared" si="7"/>
        <v>0.5618926220849676</v>
      </c>
      <c r="K56" s="218">
        <f t="shared" si="7"/>
        <v>0.5618926220849676</v>
      </c>
      <c r="L56" s="218">
        <f t="shared" si="7"/>
        <v>0.5618926220849676</v>
      </c>
      <c r="M56" s="218">
        <f t="shared" si="7"/>
        <v>0.5618926220849676</v>
      </c>
      <c r="N56" s="143"/>
      <c r="O56" s="4"/>
      <c r="P56" s="4"/>
      <c r="Q56" s="4"/>
      <c r="R56" s="4"/>
      <c r="S56" s="4"/>
      <c r="T56" s="4"/>
    </row>
    <row r="57" spans="1:20" x14ac:dyDescent="0.2">
      <c r="A57" s="4"/>
      <c r="B57" s="216">
        <f>IF('Historical Contributions'!B53=0," ",'Historical Contributions'!B53)</f>
        <v>108</v>
      </c>
      <c r="C57" s="219">
        <f>'Historical Contributions'!C53</f>
        <v>0</v>
      </c>
      <c r="D57" s="219">
        <f>'Historical Contributions'!D53</f>
        <v>0</v>
      </c>
      <c r="E57" s="219">
        <f>'Historical Contributions'!E53</f>
        <v>0</v>
      </c>
      <c r="F57" s="219">
        <f>'Historical Contributions'!F53</f>
        <v>0</v>
      </c>
      <c r="G57" s="218">
        <f t="shared" si="8"/>
        <v>0</v>
      </c>
      <c r="H57" s="218">
        <f t="shared" si="7"/>
        <v>0</v>
      </c>
      <c r="I57" s="218">
        <f t="shared" si="7"/>
        <v>0</v>
      </c>
      <c r="J57" s="218">
        <f t="shared" si="7"/>
        <v>0</v>
      </c>
      <c r="K57" s="218">
        <f t="shared" si="7"/>
        <v>0</v>
      </c>
      <c r="L57" s="218">
        <f t="shared" si="7"/>
        <v>0</v>
      </c>
      <c r="M57" s="218">
        <f t="shared" si="7"/>
        <v>0</v>
      </c>
      <c r="N57" s="143"/>
      <c r="O57" s="4"/>
      <c r="P57" s="4"/>
      <c r="Q57" s="4"/>
      <c r="R57" s="4"/>
      <c r="S57" s="4"/>
      <c r="T57" s="4"/>
    </row>
    <row r="58" spans="1:20" x14ac:dyDescent="0.2">
      <c r="A58" s="4"/>
      <c r="B58" s="216">
        <f>IF('Historical Contributions'!B54=0," ",'Historical Contributions'!B54)</f>
        <v>109</v>
      </c>
      <c r="C58" s="219">
        <f>'Historical Contributions'!C54</f>
        <v>0.9574260322024245</v>
      </c>
      <c r="D58" s="219">
        <f>'Historical Contributions'!D54</f>
        <v>0.92234665701602192</v>
      </c>
      <c r="E58" s="219">
        <f>'Historical Contributions'!E54</f>
        <v>0.86053693532004571</v>
      </c>
      <c r="F58" s="219">
        <f>'Historical Contributions'!F54</f>
        <v>0.79583224608270697</v>
      </c>
      <c r="G58" s="218">
        <f t="shared" si="8"/>
        <v>0.85957194613959154</v>
      </c>
      <c r="H58" s="218">
        <f t="shared" si="7"/>
        <v>0.85957194613959154</v>
      </c>
      <c r="I58" s="218">
        <f t="shared" si="7"/>
        <v>0.85957194613959154</v>
      </c>
      <c r="J58" s="218">
        <f t="shared" si="7"/>
        <v>0.85957194613959154</v>
      </c>
      <c r="K58" s="218">
        <f t="shared" si="7"/>
        <v>0.85957194613959154</v>
      </c>
      <c r="L58" s="218">
        <f t="shared" si="7"/>
        <v>0.85957194613959154</v>
      </c>
      <c r="M58" s="218">
        <f t="shared" si="7"/>
        <v>0.85957194613959154</v>
      </c>
      <c r="N58" s="143"/>
      <c r="O58" s="4"/>
      <c r="P58" s="4"/>
      <c r="Q58" s="4"/>
      <c r="R58" s="4"/>
      <c r="S58" s="4"/>
      <c r="T58" s="4"/>
    </row>
    <row r="59" spans="1:20" x14ac:dyDescent="0.2">
      <c r="A59" s="4"/>
      <c r="B59" s="216">
        <f>IF('Historical Contributions'!B55=0," ",'Historical Contributions'!B55)</f>
        <v>110</v>
      </c>
      <c r="C59" s="219">
        <f>'Historical Contributions'!C55</f>
        <v>0</v>
      </c>
      <c r="D59" s="219">
        <f>'Historical Contributions'!D55</f>
        <v>0</v>
      </c>
      <c r="E59" s="219">
        <f>'Historical Contributions'!E55</f>
        <v>0</v>
      </c>
      <c r="F59" s="219">
        <f>'Historical Contributions'!F55</f>
        <v>0</v>
      </c>
      <c r="G59" s="218">
        <f t="shared" si="8"/>
        <v>0</v>
      </c>
      <c r="H59" s="218">
        <f t="shared" si="7"/>
        <v>0</v>
      </c>
      <c r="I59" s="218">
        <f t="shared" si="7"/>
        <v>0</v>
      </c>
      <c r="J59" s="218">
        <f t="shared" si="7"/>
        <v>0</v>
      </c>
      <c r="K59" s="218">
        <f t="shared" si="7"/>
        <v>0</v>
      </c>
      <c r="L59" s="218">
        <f t="shared" si="7"/>
        <v>0</v>
      </c>
      <c r="M59" s="218">
        <f t="shared" si="7"/>
        <v>0</v>
      </c>
      <c r="N59" s="143"/>
      <c r="O59" s="4"/>
      <c r="P59" s="4"/>
      <c r="Q59" s="4"/>
      <c r="R59" s="4"/>
      <c r="S59" s="4"/>
      <c r="T59" s="4"/>
    </row>
    <row r="60" spans="1:20" x14ac:dyDescent="0.2">
      <c r="A60" s="4"/>
      <c r="B60" s="216">
        <f>IF('Historical Contributions'!B56=0," ",'Historical Contributions'!B56)</f>
        <v>111</v>
      </c>
      <c r="C60" s="219">
        <f>'Historical Contributions'!C56</f>
        <v>0.23951466550473002</v>
      </c>
      <c r="D60" s="219">
        <f>'Historical Contributions'!D56</f>
        <v>0.35363043999173616</v>
      </c>
      <c r="E60" s="219">
        <f>'Historical Contributions'!E56</f>
        <v>0.42460286307726725</v>
      </c>
      <c r="F60" s="219">
        <f>'Historical Contributions'!F56</f>
        <v>0.40789623419782917</v>
      </c>
      <c r="G60" s="218">
        <f t="shared" si="8"/>
        <v>0.3953765124222775</v>
      </c>
      <c r="H60" s="218">
        <f t="shared" si="7"/>
        <v>0.3953765124222775</v>
      </c>
      <c r="I60" s="218">
        <f t="shared" si="7"/>
        <v>0.3953765124222775</v>
      </c>
      <c r="J60" s="218">
        <f t="shared" si="7"/>
        <v>0.3953765124222775</v>
      </c>
      <c r="K60" s="218">
        <f t="shared" si="7"/>
        <v>0.3953765124222775</v>
      </c>
      <c r="L60" s="218">
        <f t="shared" si="7"/>
        <v>0.3953765124222775</v>
      </c>
      <c r="M60" s="218">
        <f t="shared" si="7"/>
        <v>0.3953765124222775</v>
      </c>
      <c r="N60" s="143"/>
      <c r="O60" s="4"/>
      <c r="P60" s="4"/>
      <c r="Q60" s="4"/>
      <c r="R60" s="4"/>
      <c r="S60" s="4"/>
      <c r="T60" s="4"/>
    </row>
    <row r="61" spans="1:20" x14ac:dyDescent="0.2">
      <c r="A61" s="4"/>
      <c r="B61" s="216">
        <f>IF('Historical Contributions'!B57=0," ",'Historical Contributions'!B57)</f>
        <v>114</v>
      </c>
      <c r="C61" s="219">
        <f>'Historical Contributions'!C57</f>
        <v>0</v>
      </c>
      <c r="D61" s="219">
        <f>'Historical Contributions'!D57</f>
        <v>0</v>
      </c>
      <c r="E61" s="219">
        <f>'Historical Contributions'!E57</f>
        <v>0</v>
      </c>
      <c r="F61" s="219">
        <f>'Historical Contributions'!F57</f>
        <v>0</v>
      </c>
      <c r="G61" s="218">
        <f t="shared" si="8"/>
        <v>0</v>
      </c>
      <c r="H61" s="218">
        <f t="shared" si="7"/>
        <v>0</v>
      </c>
      <c r="I61" s="218">
        <f t="shared" si="7"/>
        <v>0</v>
      </c>
      <c r="J61" s="218">
        <f t="shared" si="7"/>
        <v>0</v>
      </c>
      <c r="K61" s="218">
        <f t="shared" si="7"/>
        <v>0</v>
      </c>
      <c r="L61" s="218">
        <f t="shared" si="7"/>
        <v>0</v>
      </c>
      <c r="M61" s="218">
        <f t="shared" si="7"/>
        <v>0</v>
      </c>
      <c r="N61" s="143"/>
      <c r="O61" s="4"/>
      <c r="P61" s="4"/>
      <c r="Q61" s="4"/>
      <c r="R61" s="4"/>
      <c r="S61" s="4"/>
      <c r="T61" s="4"/>
    </row>
    <row r="62" spans="1:20" x14ac:dyDescent="0.2">
      <c r="A62" s="4"/>
      <c r="B62" s="216">
        <f>IF('Historical Contributions'!B58=0," ",'Historical Contributions'!B58)</f>
        <v>115</v>
      </c>
      <c r="C62" s="219">
        <f>'Historical Contributions'!C58</f>
        <v>0</v>
      </c>
      <c r="D62" s="219">
        <f>'Historical Contributions'!D58</f>
        <v>0</v>
      </c>
      <c r="E62" s="219">
        <f>'Historical Contributions'!E58</f>
        <v>0</v>
      </c>
      <c r="F62" s="219">
        <f>'Historical Contributions'!F58</f>
        <v>0</v>
      </c>
      <c r="G62" s="218">
        <f t="shared" si="8"/>
        <v>0</v>
      </c>
      <c r="H62" s="218">
        <f t="shared" si="7"/>
        <v>0</v>
      </c>
      <c r="I62" s="218">
        <f t="shared" si="7"/>
        <v>0</v>
      </c>
      <c r="J62" s="218">
        <f t="shared" si="7"/>
        <v>0</v>
      </c>
      <c r="K62" s="218">
        <f t="shared" si="7"/>
        <v>0</v>
      </c>
      <c r="L62" s="218">
        <f t="shared" si="7"/>
        <v>0</v>
      </c>
      <c r="M62" s="218">
        <f t="shared" si="7"/>
        <v>0</v>
      </c>
      <c r="N62" s="143"/>
      <c r="O62" s="4"/>
      <c r="P62" s="4"/>
      <c r="Q62" s="4"/>
      <c r="R62" s="4"/>
      <c r="S62" s="4"/>
      <c r="T62" s="4"/>
    </row>
    <row r="63" spans="1:20" x14ac:dyDescent="0.2">
      <c r="A63" s="4"/>
      <c r="B63" s="216">
        <f>IF('Historical Contributions'!B59=0," ",'Historical Contributions'!B59)</f>
        <v>116</v>
      </c>
      <c r="C63" s="219">
        <f>'Historical Contributions'!C59</f>
        <v>0.98307408118389994</v>
      </c>
      <c r="D63" s="219">
        <f>'Historical Contributions'!D59</f>
        <v>0.94362222165116172</v>
      </c>
      <c r="E63" s="219">
        <f>'Historical Contributions'!E59</f>
        <v>0.96799736121383095</v>
      </c>
      <c r="F63" s="219">
        <f>'Historical Contributions'!F59</f>
        <v>0.9210811619599315</v>
      </c>
      <c r="G63" s="218">
        <f t="shared" si="8"/>
        <v>0.94423358160830817</v>
      </c>
      <c r="H63" s="218">
        <f t="shared" si="7"/>
        <v>0.94423358160830817</v>
      </c>
      <c r="I63" s="218">
        <f t="shared" si="7"/>
        <v>0.94423358160830817</v>
      </c>
      <c r="J63" s="218">
        <f t="shared" si="7"/>
        <v>0.94423358160830817</v>
      </c>
      <c r="K63" s="218">
        <f t="shared" si="7"/>
        <v>0.94423358160830817</v>
      </c>
      <c r="L63" s="218">
        <f t="shared" si="7"/>
        <v>0.94423358160830817</v>
      </c>
      <c r="M63" s="218">
        <f t="shared" si="7"/>
        <v>0.94423358160830817</v>
      </c>
      <c r="N63" s="143"/>
      <c r="O63" s="4"/>
      <c r="P63" s="4"/>
      <c r="Q63" s="4"/>
      <c r="R63" s="4"/>
      <c r="S63" s="4"/>
      <c r="T63" s="4"/>
    </row>
    <row r="64" spans="1:20" x14ac:dyDescent="0.2">
      <c r="A64" s="4"/>
      <c r="B64" s="216">
        <f>IF('Historical Contributions'!B60=0," ",'Historical Contributions'!B60)</f>
        <v>118</v>
      </c>
      <c r="C64" s="219">
        <f>'Historical Contributions'!C60</f>
        <v>1</v>
      </c>
      <c r="D64" s="219">
        <f>'Historical Contributions'!D60</f>
        <v>1</v>
      </c>
      <c r="E64" s="219">
        <f>'Historical Contributions'!E60</f>
        <v>1</v>
      </c>
      <c r="F64" s="219">
        <f>'Historical Contributions'!F60</f>
        <v>1</v>
      </c>
      <c r="G64" s="218">
        <f>MIN(AVERAGE($D64:$F64),1)</f>
        <v>1</v>
      </c>
      <c r="H64" s="218">
        <f t="shared" ref="H64:M64" si="9">MIN(AVERAGE($D64:$F64),1)</f>
        <v>1</v>
      </c>
      <c r="I64" s="218">
        <f t="shared" si="9"/>
        <v>1</v>
      </c>
      <c r="J64" s="218">
        <f t="shared" si="9"/>
        <v>1</v>
      </c>
      <c r="K64" s="218">
        <f t="shared" si="9"/>
        <v>1</v>
      </c>
      <c r="L64" s="218">
        <f t="shared" si="9"/>
        <v>1</v>
      </c>
      <c r="M64" s="218">
        <f t="shared" si="9"/>
        <v>1</v>
      </c>
      <c r="N64" s="143"/>
      <c r="O64" s="4"/>
      <c r="P64" s="4"/>
      <c r="Q64" s="4"/>
      <c r="R64" s="4"/>
      <c r="S64" s="4"/>
      <c r="T64" s="4"/>
    </row>
    <row r="65" spans="1:20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143"/>
      <c r="O65" s="4"/>
      <c r="P65" s="4"/>
      <c r="Q65" s="4"/>
      <c r="R65" s="4"/>
      <c r="S65" s="4"/>
      <c r="T65" s="4"/>
    </row>
    <row r="66" spans="1:20" x14ac:dyDescent="0.2">
      <c r="A66" s="4"/>
      <c r="B66" s="124" t="s">
        <v>281</v>
      </c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43"/>
      <c r="O66" s="4"/>
      <c r="P66" s="4"/>
      <c r="Q66" s="4"/>
      <c r="R66" s="4"/>
      <c r="S66" s="4"/>
      <c r="T66" s="4"/>
    </row>
    <row r="67" spans="1:20" s="119" customFormat="1" x14ac:dyDescent="0.2">
      <c r="A67" s="120"/>
      <c r="B67" s="309" t="s">
        <v>341</v>
      </c>
      <c r="C67" s="310"/>
      <c r="D67" s="310"/>
      <c r="E67" s="310"/>
      <c r="F67" s="310"/>
      <c r="G67" s="310"/>
      <c r="H67" s="310"/>
      <c r="I67" s="310"/>
      <c r="J67" s="310"/>
      <c r="K67" s="310"/>
      <c r="L67" s="310"/>
      <c r="M67" s="311"/>
      <c r="N67" s="143"/>
      <c r="O67" s="120"/>
      <c r="P67" s="120"/>
      <c r="Q67" s="120"/>
      <c r="R67" s="120"/>
      <c r="S67" s="120"/>
      <c r="T67" s="120"/>
    </row>
    <row r="68" spans="1:20" s="119" customForma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43"/>
      <c r="O68" s="120"/>
      <c r="P68" s="120"/>
      <c r="Q68" s="120"/>
      <c r="R68" s="120"/>
      <c r="S68" s="120"/>
      <c r="T68" s="120"/>
    </row>
    <row r="69" spans="1:20" s="119" customFormat="1" x14ac:dyDescent="0.2">
      <c r="A69" s="120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43"/>
      <c r="O69" s="120"/>
      <c r="P69" s="120"/>
      <c r="Q69" s="120"/>
      <c r="R69" s="120"/>
      <c r="S69" s="120"/>
      <c r="T69" s="120"/>
    </row>
    <row r="70" spans="1:20" x14ac:dyDescent="0.2">
      <c r="A70" s="4"/>
      <c r="B70" s="34" t="s">
        <v>227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143"/>
      <c r="O70" s="4"/>
      <c r="P70" s="4"/>
      <c r="Q70" s="4"/>
      <c r="R70" s="4"/>
      <c r="S70" s="4"/>
      <c r="T70" s="4"/>
    </row>
    <row r="71" spans="1:20" x14ac:dyDescent="0.2">
      <c r="A71" s="4"/>
      <c r="B71" s="48" t="s">
        <v>280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143"/>
      <c r="O71" s="4"/>
      <c r="P71" s="4"/>
      <c r="Q71" s="4"/>
      <c r="R71" s="4"/>
      <c r="S71" s="4"/>
      <c r="T71" s="4"/>
    </row>
    <row r="72" spans="1:20" x14ac:dyDescent="0.2">
      <c r="A72" s="4"/>
      <c r="B72" s="4"/>
      <c r="C72" s="308" t="str">
        <f>"$ "&amp;Inflation!$D$4</f>
        <v>$ 2021</v>
      </c>
      <c r="D72" s="289"/>
      <c r="E72" s="289"/>
      <c r="F72" s="289"/>
      <c r="G72" s="289"/>
      <c r="H72" s="289"/>
      <c r="I72" s="289"/>
      <c r="J72" s="289"/>
      <c r="K72" s="289"/>
      <c r="L72" s="289"/>
      <c r="M72" s="290"/>
      <c r="N72" s="143"/>
      <c r="O72" s="4"/>
      <c r="P72" s="4"/>
      <c r="Q72" s="4"/>
      <c r="R72" s="4"/>
      <c r="S72" s="4"/>
      <c r="T72" s="4"/>
    </row>
    <row r="73" spans="1:20" ht="25.5" x14ac:dyDescent="0.2">
      <c r="A73" s="4"/>
      <c r="B73" s="3" t="s">
        <v>35</v>
      </c>
      <c r="C73" s="3" t="s">
        <v>325</v>
      </c>
      <c r="D73" s="3" t="s">
        <v>326</v>
      </c>
      <c r="E73" s="3" t="s">
        <v>327</v>
      </c>
      <c r="F73" s="163" t="s">
        <v>328</v>
      </c>
      <c r="G73" s="3" t="s">
        <v>312</v>
      </c>
      <c r="H73" s="3" t="s">
        <v>313</v>
      </c>
      <c r="I73" s="3" t="s">
        <v>314</v>
      </c>
      <c r="J73" s="3" t="s">
        <v>315</v>
      </c>
      <c r="K73" s="3" t="s">
        <v>316</v>
      </c>
      <c r="L73" s="3" t="s">
        <v>317</v>
      </c>
      <c r="M73" s="172" t="s">
        <v>318</v>
      </c>
      <c r="N73" s="143"/>
      <c r="O73" s="4"/>
      <c r="P73" s="4"/>
      <c r="Q73" s="4"/>
      <c r="R73" s="4"/>
      <c r="S73" s="4"/>
      <c r="T73" s="4"/>
    </row>
    <row r="74" spans="1:20" x14ac:dyDescent="0.2">
      <c r="A74" s="4"/>
      <c r="B74" s="216">
        <f>IF('Historical Contributions'!B67=0," ",'Historical Contributions'!B67)</f>
        <v>102</v>
      </c>
      <c r="C74" s="189">
        <f>'Historical Contributions'!C67*Inflation!H$10</f>
        <v>537167.20304788847</v>
      </c>
      <c r="D74" s="189">
        <f>'Historical Contributions'!D67*Inflation!I$10</f>
        <v>1004370.9095229635</v>
      </c>
      <c r="E74" s="189">
        <f>'Historical Contributions'!E67*Inflation!J$10</f>
        <v>1733038.0107534691</v>
      </c>
      <c r="F74" s="189">
        <f>'Historical Contributions'!F67*Inflation!K$10</f>
        <v>2102362.9715077174</v>
      </c>
      <c r="G74" s="199">
        <f ca="1">'Forecast Expenditure-Volumes'!G92*'Forecast Contributions'!G52</f>
        <v>1387802.897522643</v>
      </c>
      <c r="H74" s="199">
        <f ca="1">'Forecast Expenditure-Volumes'!H92*'Forecast Contributions'!H52</f>
        <v>1336337.5119401421</v>
      </c>
      <c r="I74" s="269">
        <f ca="1">'Forecast Expenditure-Volumes'!I92*'Forecast Contributions'!I52*(1+'Contributions Impact'!$H$4)</f>
        <v>710467.44638781145</v>
      </c>
      <c r="J74" s="269">
        <f ca="1">'Forecast Expenditure-Volumes'!J92*'Forecast Contributions'!J52*(1+'Contributions Impact'!$H$4)</f>
        <v>1260624.3572278137</v>
      </c>
      <c r="K74" s="269">
        <f ca="1">'Forecast Expenditure-Volumes'!K92*'Forecast Contributions'!K52*(1+'Contributions Impact'!$H$4)</f>
        <v>1281829.9389336291</v>
      </c>
      <c r="L74" s="269">
        <f ca="1">'Forecast Expenditure-Volumes'!L92*'Forecast Contributions'!L52*(1+'Contributions Impact'!$H$4)</f>
        <v>1288792.9657624045</v>
      </c>
      <c r="M74" s="269">
        <f ca="1">'Forecast Expenditure-Volumes'!M92*'Forecast Contributions'!M52*(1+'Contributions Impact'!$H$4)</f>
        <v>1296547.2456399042</v>
      </c>
      <c r="N74" s="143"/>
      <c r="O74" s="4"/>
      <c r="P74" s="4"/>
      <c r="Q74" s="4"/>
      <c r="R74" s="4"/>
      <c r="S74" s="4"/>
      <c r="T74" s="4"/>
    </row>
    <row r="75" spans="1:20" x14ac:dyDescent="0.2">
      <c r="A75" s="4"/>
      <c r="B75" s="216">
        <f>IF('Historical Contributions'!B68=0," ",'Historical Contributions'!B68)</f>
        <v>104</v>
      </c>
      <c r="C75" s="189">
        <f>'Historical Contributions'!C68*Inflation!H$10</f>
        <v>31532.826059254301</v>
      </c>
      <c r="D75" s="189">
        <f>'Historical Contributions'!D68*Inflation!I$10</f>
        <v>31063.500276046496</v>
      </c>
      <c r="E75" s="189">
        <f>'Historical Contributions'!E68*Inflation!J$10</f>
        <v>0</v>
      </c>
      <c r="F75" s="189">
        <f>'Historical Contributions'!F68*Inflation!K$10</f>
        <v>0</v>
      </c>
      <c r="G75" s="199">
        <f ca="1">'Forecast Expenditure-Volumes'!G93*'Forecast Contributions'!G53</f>
        <v>5462.5959765803163</v>
      </c>
      <c r="H75" s="199">
        <f ca="1">'Forecast Expenditure-Volumes'!H93*'Forecast Contributions'!H53</f>
        <v>5462.5959765803163</v>
      </c>
      <c r="I75" s="269">
        <f ca="1">'Forecast Expenditure-Volumes'!I93*'Forecast Contributions'!I53*(1+'Contributions Impact'!$H$4)</f>
        <v>2841.6149143298221</v>
      </c>
      <c r="J75" s="269">
        <f ca="1">'Forecast Expenditure-Volumes'!J93*'Forecast Contributions'!J53*(1+'Contributions Impact'!$H$4)</f>
        <v>4904.6959857676993</v>
      </c>
      <c r="K75" s="269">
        <f ca="1">'Forecast Expenditure-Volumes'!K93*'Forecast Contributions'!K53*(1+'Contributions Impact'!$H$4)</f>
        <v>4904.6959857676993</v>
      </c>
      <c r="L75" s="269">
        <f ca="1">'Forecast Expenditure-Volumes'!L93*'Forecast Contributions'!L53*(1+'Contributions Impact'!$H$4)</f>
        <v>4904.6959857676993</v>
      </c>
      <c r="M75" s="269">
        <f ca="1">'Forecast Expenditure-Volumes'!M93*'Forecast Contributions'!M53*(1+'Contributions Impact'!$H$4)</f>
        <v>4904.6959857676993</v>
      </c>
      <c r="N75" s="143"/>
      <c r="O75" s="4"/>
      <c r="P75" s="4"/>
      <c r="Q75" s="4"/>
      <c r="R75" s="4"/>
      <c r="S75" s="4"/>
      <c r="T75" s="4"/>
    </row>
    <row r="76" spans="1:20" x14ac:dyDescent="0.2">
      <c r="A76" s="4"/>
      <c r="B76" s="216">
        <f>IF('Historical Contributions'!B69=0," ",'Historical Contributions'!B69)</f>
        <v>105</v>
      </c>
      <c r="C76" s="189">
        <f>'Historical Contributions'!C69*Inflation!H$10</f>
        <v>2200932.5645664032</v>
      </c>
      <c r="D76" s="189">
        <f>'Historical Contributions'!D69*Inflation!I$10</f>
        <v>3454219.0326129198</v>
      </c>
      <c r="E76" s="189">
        <f>'Historical Contributions'!E69*Inflation!J$10</f>
        <v>3946025.3853018037</v>
      </c>
      <c r="F76" s="189">
        <f>'Historical Contributions'!F69*Inflation!K$10</f>
        <v>4427240.00074914</v>
      </c>
      <c r="G76" s="199">
        <f ca="1">'Forecast Expenditure-Volumes'!G94*'Forecast Contributions'!G54</f>
        <v>3830077.3786507379</v>
      </c>
      <c r="H76" s="199">
        <f ca="1">'Forecast Expenditure-Volumes'!H94*'Forecast Contributions'!H54</f>
        <v>3729134.0742435274</v>
      </c>
      <c r="I76" s="269">
        <f ca="1">'Forecast Expenditure-Volumes'!I94*'Forecast Contributions'!I54*(1+'Contributions Impact'!$H$4)</f>
        <v>3199375.6517907022</v>
      </c>
      <c r="J76" s="269">
        <f ca="1">'Forecast Expenditure-Volumes'!J94*'Forecast Contributions'!J54*(1+'Contributions Impact'!$H$4)</f>
        <v>2544222.2402949133</v>
      </c>
      <c r="K76" s="269">
        <f ca="1">'Forecast Expenditure-Volumes'!K94*'Forecast Contributions'!K54*(1+'Contributions Impact'!$H$4)</f>
        <v>2558464.7057622131</v>
      </c>
      <c r="L76" s="269">
        <f ca="1">'Forecast Expenditure-Volumes'!L94*'Forecast Contributions'!L54*(1+'Contributions Impact'!$H$4)</f>
        <v>2843314.0151082091</v>
      </c>
      <c r="M76" s="269">
        <f ca="1">'Forecast Expenditure-Volumes'!M94*'Forecast Contributions'!M54*(1+'Contributions Impact'!$H$4)</f>
        <v>2904168.1857412169</v>
      </c>
      <c r="N76" s="143"/>
      <c r="O76" s="4"/>
      <c r="P76" s="4"/>
      <c r="Q76" s="4"/>
      <c r="R76" s="4"/>
      <c r="S76" s="4"/>
      <c r="T76" s="4"/>
    </row>
    <row r="77" spans="1:20" x14ac:dyDescent="0.2">
      <c r="A77" s="4"/>
      <c r="B77" s="216">
        <f>IF('Historical Contributions'!B70=0," ",'Historical Contributions'!B70)</f>
        <v>106</v>
      </c>
      <c r="C77" s="189">
        <f>'Historical Contributions'!C70*Inflation!H$10</f>
        <v>4463125.968446983</v>
      </c>
      <c r="D77" s="189">
        <f>'Historical Contributions'!D70*Inflation!I$10</f>
        <v>4455895.2152858181</v>
      </c>
      <c r="E77" s="189">
        <f>'Historical Contributions'!E70*Inflation!J$10</f>
        <v>5155803.6192189753</v>
      </c>
      <c r="F77" s="189">
        <f>'Historical Contributions'!F70*Inflation!K$10</f>
        <v>5420990.4477645513</v>
      </c>
      <c r="G77" s="199">
        <f ca="1">'Forecast Expenditure-Volumes'!G95*'Forecast Contributions'!G55</f>
        <v>5134764.0165569894</v>
      </c>
      <c r="H77" s="199">
        <f ca="1">'Forecast Expenditure-Volumes'!H95*'Forecast Contributions'!H55</f>
        <v>5204460.2594410032</v>
      </c>
      <c r="I77" s="269">
        <f ca="1">'Forecast Expenditure-Volumes'!I95*'Forecast Contributions'!I55*(1+'Contributions Impact'!$H$4)</f>
        <v>4747634.498665642</v>
      </c>
      <c r="J77" s="269">
        <f ca="1">'Forecast Expenditure-Volumes'!J95*'Forecast Contributions'!J55*(1+'Contributions Impact'!$H$4)</f>
        <v>4464117.3880526554</v>
      </c>
      <c r="K77" s="269">
        <f ca="1">'Forecast Expenditure-Volumes'!K95*'Forecast Contributions'!K55*(1+'Contributions Impact'!$H$4)</f>
        <v>4378551.4132280163</v>
      </c>
      <c r="L77" s="269">
        <f ca="1">'Forecast Expenditure-Volumes'!L95*'Forecast Contributions'!L55*(1+'Contributions Impact'!$H$4)</f>
        <v>4523502.72878916</v>
      </c>
      <c r="M77" s="269">
        <f ca="1">'Forecast Expenditure-Volumes'!M95*'Forecast Contributions'!M55*(1+'Contributions Impact'!$H$4)</f>
        <v>4598213.318747987</v>
      </c>
      <c r="N77" s="143"/>
      <c r="O77" s="4"/>
      <c r="P77" s="4"/>
      <c r="Q77" s="4"/>
      <c r="R77" s="4"/>
      <c r="S77" s="4"/>
      <c r="T77" s="4"/>
    </row>
    <row r="78" spans="1:20" x14ac:dyDescent="0.2">
      <c r="A78" s="4"/>
      <c r="B78" s="216">
        <f>IF('Historical Contributions'!B71=0," ",'Historical Contributions'!B71)</f>
        <v>107</v>
      </c>
      <c r="C78" s="189">
        <f>'Historical Contributions'!C71*Inflation!H$10</f>
        <v>2274107.3679459933</v>
      </c>
      <c r="D78" s="189">
        <f>'Historical Contributions'!D71*Inflation!I$10</f>
        <v>2485975.6057578688</v>
      </c>
      <c r="E78" s="189">
        <f>'Historical Contributions'!E71*Inflation!J$10</f>
        <v>952625.28383975383</v>
      </c>
      <c r="F78" s="189">
        <f>'Historical Contributions'!F71*Inflation!K$10</f>
        <v>1480754.1534041988</v>
      </c>
      <c r="G78" s="199">
        <f ca="1">'Forecast Expenditure-Volumes'!G96*'Forecast Contributions'!G56</f>
        <v>2041299.1721329684</v>
      </c>
      <c r="H78" s="199">
        <f ca="1">'Forecast Expenditure-Volumes'!H96*'Forecast Contributions'!H56</f>
        <v>3706344.8517232048</v>
      </c>
      <c r="I78" s="199">
        <f ca="1">'Forecast Expenditure-Volumes'!I96*'Forecast Contributions'!I56</f>
        <v>2232299.710279536</v>
      </c>
      <c r="J78" s="199">
        <f ca="1">'Forecast Expenditure-Volumes'!J96*'Forecast Contributions'!J56</f>
        <v>2874543.0934694447</v>
      </c>
      <c r="K78" s="199">
        <f ca="1">'Forecast Expenditure-Volumes'!K96*'Forecast Contributions'!K56</f>
        <v>4122840.8591464949</v>
      </c>
      <c r="L78" s="199">
        <f ca="1">'Forecast Expenditure-Volumes'!L96*'Forecast Contributions'!L56</f>
        <v>1626245.3277923935</v>
      </c>
      <c r="M78" s="199">
        <f ca="1">'Forecast Expenditure-Volumes'!M96*'Forecast Contributions'!M56</f>
        <v>1626245.3277923935</v>
      </c>
      <c r="N78" s="143"/>
      <c r="O78" s="4"/>
      <c r="P78" s="4"/>
      <c r="Q78" s="4"/>
      <c r="R78" s="4"/>
      <c r="S78" s="4"/>
      <c r="T78" s="4"/>
    </row>
    <row r="79" spans="1:20" x14ac:dyDescent="0.2">
      <c r="A79" s="4"/>
      <c r="B79" s="216">
        <f>IF('Historical Contributions'!B72=0," ",'Historical Contributions'!B72)</f>
        <v>108</v>
      </c>
      <c r="C79" s="189">
        <f>'Historical Contributions'!C72*Inflation!H$10</f>
        <v>0</v>
      </c>
      <c r="D79" s="189">
        <f>'Historical Contributions'!D72*Inflation!I$10</f>
        <v>0</v>
      </c>
      <c r="E79" s="189">
        <f>'Historical Contributions'!E72*Inflation!J$10</f>
        <v>0</v>
      </c>
      <c r="F79" s="189">
        <f>'Historical Contributions'!F72*Inflation!K$10</f>
        <v>0</v>
      </c>
      <c r="G79" s="199">
        <f ca="1">'Forecast Expenditure-Volumes'!G97*'Forecast Contributions'!G57</f>
        <v>0</v>
      </c>
      <c r="H79" s="199">
        <f ca="1">'Forecast Expenditure-Volumes'!H97*'Forecast Contributions'!H57</f>
        <v>0</v>
      </c>
      <c r="I79" s="199">
        <f ca="1">'Forecast Expenditure-Volumes'!I97*'Forecast Contributions'!I57</f>
        <v>0</v>
      </c>
      <c r="J79" s="199">
        <f ca="1">'Forecast Expenditure-Volumes'!J97*'Forecast Contributions'!J57</f>
        <v>0</v>
      </c>
      <c r="K79" s="199">
        <f ca="1">'Forecast Expenditure-Volumes'!K97*'Forecast Contributions'!K57</f>
        <v>0</v>
      </c>
      <c r="L79" s="199">
        <f ca="1">'Forecast Expenditure-Volumes'!L97*'Forecast Contributions'!L57</f>
        <v>0</v>
      </c>
      <c r="M79" s="199">
        <f ca="1">'Forecast Expenditure-Volumes'!M97*'Forecast Contributions'!M57</f>
        <v>0</v>
      </c>
      <c r="N79" s="143"/>
      <c r="O79" s="4"/>
      <c r="P79" s="4"/>
      <c r="Q79" s="4"/>
      <c r="R79" s="4"/>
      <c r="S79" s="4"/>
      <c r="T79" s="4"/>
    </row>
    <row r="80" spans="1:20" x14ac:dyDescent="0.2">
      <c r="A80" s="4"/>
      <c r="B80" s="216">
        <f>IF('Historical Contributions'!B73=0," ",'Historical Contributions'!B73)</f>
        <v>109</v>
      </c>
      <c r="C80" s="189">
        <f>'Historical Contributions'!C73*Inflation!H$10</f>
        <v>2186686.1367392684</v>
      </c>
      <c r="D80" s="189">
        <f>'Historical Contributions'!D73*Inflation!I$10</f>
        <v>4711552.9714753097</v>
      </c>
      <c r="E80" s="189">
        <f>'Historical Contributions'!E73*Inflation!J$10</f>
        <v>5039907.262043234</v>
      </c>
      <c r="F80" s="189">
        <f>'Historical Contributions'!F73*Inflation!K$10</f>
        <v>5601311.1756790308</v>
      </c>
      <c r="G80" s="199">
        <f ca="1">'Forecast Expenditure-Volumes'!G98*'Forecast Contributions'!G58</f>
        <v>5158357.3445701115</v>
      </c>
      <c r="H80" s="199">
        <f ca="1">'Forecast Expenditure-Volumes'!H98*'Forecast Contributions'!H58</f>
        <v>4967064.4382182611</v>
      </c>
      <c r="I80" s="269">
        <f ca="1">'Forecast Expenditure-Volumes'!I98*'Forecast Contributions'!I58*(1+'Contributions Impact'!$H$4)</f>
        <v>2640753.2198517728</v>
      </c>
      <c r="J80" s="269">
        <f ca="1">'Forecast Expenditure-Volumes'!J98*'Forecast Contributions'!J58*(1+'Contributions Impact'!$H$4)</f>
        <v>4685644.4264946282</v>
      </c>
      <c r="K80" s="269">
        <f ca="1">'Forecast Expenditure-Volumes'!K98*'Forecast Contributions'!K58*(1+'Contributions Impact'!$H$4)</f>
        <v>4764463.9536287328</v>
      </c>
      <c r="L80" s="269">
        <f ca="1">'Forecast Expenditure-Volumes'!L98*'Forecast Contributions'!L58*(1+'Contributions Impact'!$H$4)</f>
        <v>4790344.9923891863</v>
      </c>
      <c r="M80" s="269">
        <f ca="1">'Forecast Expenditure-Volumes'!M98*'Forecast Contributions'!M58*(1+'Contributions Impact'!$H$4)</f>
        <v>4819167.0582815073</v>
      </c>
      <c r="N80" s="143"/>
      <c r="O80" s="4"/>
      <c r="P80" s="4"/>
      <c r="Q80" s="4"/>
      <c r="R80" s="4"/>
      <c r="S80" s="4"/>
      <c r="T80" s="4"/>
    </row>
    <row r="81" spans="1:20" x14ac:dyDescent="0.2">
      <c r="A81" s="4"/>
      <c r="B81" s="216">
        <f>IF('Historical Contributions'!B74=0," ",'Historical Contributions'!B74)</f>
        <v>110</v>
      </c>
      <c r="C81" s="189">
        <f>'Historical Contributions'!C74*Inflation!H$10</f>
        <v>0</v>
      </c>
      <c r="D81" s="189">
        <f>'Historical Contributions'!D74*Inflation!I$10</f>
        <v>0</v>
      </c>
      <c r="E81" s="189">
        <f>'Historical Contributions'!E74*Inflation!J$10</f>
        <v>0</v>
      </c>
      <c r="F81" s="189">
        <f>'Historical Contributions'!F74*Inflation!K$10</f>
        <v>0</v>
      </c>
      <c r="G81" s="199">
        <f ca="1">'Forecast Expenditure-Volumes'!G99*'Forecast Contributions'!G59</f>
        <v>0</v>
      </c>
      <c r="H81" s="199">
        <f ca="1">'Forecast Expenditure-Volumes'!H99*'Forecast Contributions'!H59</f>
        <v>0</v>
      </c>
      <c r="I81" s="199">
        <f ca="1">'Forecast Expenditure-Volumes'!I99*'Forecast Contributions'!I59</f>
        <v>0</v>
      </c>
      <c r="J81" s="199">
        <f ca="1">'Forecast Expenditure-Volumes'!J99*'Forecast Contributions'!J59</f>
        <v>0</v>
      </c>
      <c r="K81" s="199">
        <f ca="1">'Forecast Expenditure-Volumes'!K99*'Forecast Contributions'!K59</f>
        <v>0</v>
      </c>
      <c r="L81" s="199">
        <f ca="1">'Forecast Expenditure-Volumes'!L99*'Forecast Contributions'!L59</f>
        <v>0</v>
      </c>
      <c r="M81" s="199">
        <f ca="1">'Forecast Expenditure-Volumes'!M99*'Forecast Contributions'!M59</f>
        <v>0</v>
      </c>
      <c r="N81" s="143"/>
      <c r="O81" s="4"/>
      <c r="P81" s="4"/>
      <c r="Q81" s="4"/>
      <c r="R81" s="4"/>
      <c r="S81" s="4"/>
      <c r="T81" s="4"/>
    </row>
    <row r="82" spans="1:20" x14ac:dyDescent="0.2">
      <c r="A82" s="4"/>
      <c r="B82" s="216">
        <f>IF('Historical Contributions'!B75=0," ",'Historical Contributions'!B75)</f>
        <v>111</v>
      </c>
      <c r="C82" s="189">
        <f>'Historical Contributions'!C75*Inflation!H$10</f>
        <v>5609335.2144004712</v>
      </c>
      <c r="D82" s="189">
        <f>'Historical Contributions'!D75*Inflation!I$10</f>
        <v>7007748.6172387684</v>
      </c>
      <c r="E82" s="189">
        <f>'Historical Contributions'!E75*Inflation!J$10</f>
        <v>9809617.7444240209</v>
      </c>
      <c r="F82" s="189">
        <f>'Historical Contributions'!F75*Inflation!K$10</f>
        <v>11354491.674510922</v>
      </c>
      <c r="G82" s="199">
        <f ca="1">'Forecast Expenditure-Volumes'!G100*'Forecast Contributions'!G60</f>
        <v>9308738.2320232037</v>
      </c>
      <c r="H82" s="199">
        <f ca="1">'Forecast Expenditure-Volumes'!H100*'Forecast Contributions'!H60</f>
        <v>8586547.4527487364</v>
      </c>
      <c r="I82" s="269">
        <f ca="1">'Forecast Expenditure-Volumes'!I100*'Forecast Contributions'!I60*(1+'Contributions Impact'!$H$4)</f>
        <v>7273929.6374900173</v>
      </c>
      <c r="J82" s="269">
        <f ca="1">'Forecast Expenditure-Volumes'!J100*'Forecast Contributions'!J60*(1+'Contributions Impact'!$H$4)</f>
        <v>7006451.1217089752</v>
      </c>
      <c r="K82" s="269">
        <f ca="1">'Forecast Expenditure-Volumes'!K100*'Forecast Contributions'!K60*(1+'Contributions Impact'!$H$4)</f>
        <v>7626514.9537468469</v>
      </c>
      <c r="L82" s="269">
        <f ca="1">'Forecast Expenditure-Volumes'!L100*'Forecast Contributions'!L60*(1+'Contributions Impact'!$H$4)</f>
        <v>8002741.0479136184</v>
      </c>
      <c r="M82" s="269">
        <f ca="1">'Forecast Expenditure-Volumes'!M100*'Forecast Contributions'!M60*(1+'Contributions Impact'!$H$4)</f>
        <v>8078391.5372254262</v>
      </c>
      <c r="N82" s="143"/>
      <c r="O82" s="4"/>
      <c r="P82" s="4"/>
      <c r="Q82" s="4"/>
      <c r="R82" s="4"/>
      <c r="S82" s="4"/>
      <c r="T82" s="4"/>
    </row>
    <row r="83" spans="1:20" x14ac:dyDescent="0.2">
      <c r="A83" s="4"/>
      <c r="B83" s="216">
        <f>IF('Historical Contributions'!B76=0," ",'Historical Contributions'!B76)</f>
        <v>114</v>
      </c>
      <c r="C83" s="189">
        <f>'Historical Contributions'!C76*Inflation!H$10</f>
        <v>0</v>
      </c>
      <c r="D83" s="189">
        <f>'Historical Contributions'!D76*Inflation!I$10</f>
        <v>0</v>
      </c>
      <c r="E83" s="189">
        <f>'Historical Contributions'!E76*Inflation!J$10</f>
        <v>0</v>
      </c>
      <c r="F83" s="189">
        <f>'Historical Contributions'!F76*Inflation!K$10</f>
        <v>0</v>
      </c>
      <c r="G83" s="199">
        <f ca="1">'Forecast Expenditure-Volumes'!G101*'Forecast Contributions'!G61</f>
        <v>0</v>
      </c>
      <c r="H83" s="199">
        <f ca="1">'Forecast Expenditure-Volumes'!H101*'Forecast Contributions'!H61</f>
        <v>0</v>
      </c>
      <c r="I83" s="199">
        <f ca="1">'Forecast Expenditure-Volumes'!I101*'Forecast Contributions'!I61</f>
        <v>0</v>
      </c>
      <c r="J83" s="199">
        <f ca="1">'Forecast Expenditure-Volumes'!J101*'Forecast Contributions'!J61</f>
        <v>0</v>
      </c>
      <c r="K83" s="199">
        <f ca="1">'Forecast Expenditure-Volumes'!K101*'Forecast Contributions'!K61</f>
        <v>0</v>
      </c>
      <c r="L83" s="199">
        <f ca="1">'Forecast Expenditure-Volumes'!L101*'Forecast Contributions'!L61</f>
        <v>0</v>
      </c>
      <c r="M83" s="199">
        <f ca="1">'Forecast Expenditure-Volumes'!M101*'Forecast Contributions'!M61</f>
        <v>0</v>
      </c>
      <c r="N83" s="143"/>
      <c r="O83" s="4"/>
      <c r="P83" s="4"/>
      <c r="Q83" s="4"/>
      <c r="R83" s="4"/>
      <c r="S83" s="4"/>
      <c r="T83" s="4"/>
    </row>
    <row r="84" spans="1:20" x14ac:dyDescent="0.2">
      <c r="A84" s="4"/>
      <c r="B84" s="216">
        <f>IF('Historical Contributions'!B77=0," ",'Historical Contributions'!B77)</f>
        <v>115</v>
      </c>
      <c r="C84" s="189">
        <f>'Historical Contributions'!C77*Inflation!H$10</f>
        <v>0</v>
      </c>
      <c r="D84" s="189">
        <f>'Historical Contributions'!D77*Inflation!I$10</f>
        <v>0</v>
      </c>
      <c r="E84" s="189">
        <f>'Historical Contributions'!E77*Inflation!J$10</f>
        <v>0</v>
      </c>
      <c r="F84" s="189">
        <f>'Historical Contributions'!F77*Inflation!K$10</f>
        <v>0</v>
      </c>
      <c r="G84" s="199">
        <f ca="1">'Forecast Expenditure-Volumes'!G102*'Forecast Contributions'!G62</f>
        <v>0</v>
      </c>
      <c r="H84" s="199">
        <f ca="1">'Forecast Expenditure-Volumes'!H102*'Forecast Contributions'!H62</f>
        <v>0</v>
      </c>
      <c r="I84" s="199">
        <f ca="1">'Forecast Expenditure-Volumes'!I102*'Forecast Contributions'!I62</f>
        <v>0</v>
      </c>
      <c r="J84" s="199">
        <f ca="1">'Forecast Expenditure-Volumes'!J102*'Forecast Contributions'!J62</f>
        <v>0</v>
      </c>
      <c r="K84" s="199">
        <f ca="1">'Forecast Expenditure-Volumes'!K102*'Forecast Contributions'!K62</f>
        <v>0</v>
      </c>
      <c r="L84" s="199">
        <f ca="1">'Forecast Expenditure-Volumes'!L102*'Forecast Contributions'!L62</f>
        <v>0</v>
      </c>
      <c r="M84" s="199">
        <f ca="1">'Forecast Expenditure-Volumes'!M102*'Forecast Contributions'!M62</f>
        <v>0</v>
      </c>
      <c r="N84" s="143"/>
      <c r="O84" s="4"/>
      <c r="P84" s="4"/>
      <c r="Q84" s="4"/>
      <c r="R84" s="4"/>
      <c r="S84" s="4"/>
      <c r="T84" s="4"/>
    </row>
    <row r="85" spans="1:20" x14ac:dyDescent="0.2">
      <c r="A85" s="4"/>
      <c r="B85" s="216">
        <f>IF('Historical Contributions'!B78=0," ",'Historical Contributions'!B78)</f>
        <v>116</v>
      </c>
      <c r="C85" s="189">
        <f>'Historical Contributions'!C78*Inflation!H$10</f>
        <v>17190059.849681146</v>
      </c>
      <c r="D85" s="189">
        <f>'Historical Contributions'!D78*Inflation!I$10</f>
        <v>22172974.515426598</v>
      </c>
      <c r="E85" s="189">
        <f>'Historical Contributions'!E78*Inflation!J$10</f>
        <v>25321326.477417748</v>
      </c>
      <c r="F85" s="189">
        <f>'Historical Contributions'!F78*Inflation!K$10</f>
        <v>23785050.918137148</v>
      </c>
      <c r="G85" s="199">
        <f ca="1">'Forecast Expenditure-Volumes'!G103*'Forecast Contributions'!G63</f>
        <v>36509806.971699327</v>
      </c>
      <c r="H85" s="199">
        <f ca="1">'Forecast Expenditure-Volumes'!H103*'Forecast Contributions'!H63</f>
        <v>31572241.674868859</v>
      </c>
      <c r="I85" s="199">
        <f ca="1">'Forecast Expenditure-Volumes'!I103*'Forecast Contributions'!I63</f>
        <v>30600607.184831973</v>
      </c>
      <c r="J85" s="199">
        <f ca="1">'Forecast Expenditure-Volumes'!J103*'Forecast Contributions'!J63</f>
        <v>33545651.176227476</v>
      </c>
      <c r="K85" s="199">
        <f ca="1">'Forecast Expenditure-Volumes'!K103*'Forecast Contributions'!K63</f>
        <v>23994683.595784817</v>
      </c>
      <c r="L85" s="199">
        <f ca="1">'Forecast Expenditure-Volumes'!L103*'Forecast Contributions'!L63</f>
        <v>24160661.858251903</v>
      </c>
      <c r="M85" s="199">
        <f ca="1">'Forecast Expenditure-Volumes'!M103*'Forecast Contributions'!M63</f>
        <v>24232826.32019411</v>
      </c>
      <c r="N85" s="143"/>
      <c r="O85" s="4"/>
      <c r="P85" s="4"/>
      <c r="Q85" s="4"/>
      <c r="R85" s="4"/>
      <c r="S85" s="4"/>
      <c r="T85" s="4"/>
    </row>
    <row r="86" spans="1:20" x14ac:dyDescent="0.2">
      <c r="A86" s="4"/>
      <c r="B86" s="216">
        <f>IF('Historical Contributions'!B79=0," ",'Historical Contributions'!B79)</f>
        <v>118</v>
      </c>
      <c r="C86" s="189">
        <f>'Historical Contributions'!C79*Inflation!H$10</f>
        <v>100936.83237781064</v>
      </c>
      <c r="D86" s="189">
        <f>'Historical Contributions'!D79*Inflation!I$10</f>
        <v>68178.353087348383</v>
      </c>
      <c r="E86" s="189">
        <f>'Historical Contributions'!E79*Inflation!J$10</f>
        <v>61565.140849223419</v>
      </c>
      <c r="F86" s="189">
        <f>'Historical Contributions'!F79*Inflation!K$10</f>
        <v>17907.29048295159</v>
      </c>
      <c r="G86" s="199">
        <f ca="1">'Forecast Expenditure-Volumes'!G104*'Forecast Contributions'!G64</f>
        <v>28870.382753719612</v>
      </c>
      <c r="H86" s="199">
        <f ca="1">'Forecast Expenditure-Volumes'!H104*'Forecast Contributions'!H64</f>
        <v>28870.382753719612</v>
      </c>
      <c r="I86" s="199">
        <f ca="1">'Forecast Expenditure-Volumes'!I104*'Forecast Contributions'!I64</f>
        <v>16726.523000291359</v>
      </c>
      <c r="J86" s="199">
        <f ca="1">'Forecast Expenditure-Volumes'!J104*'Forecast Contributions'!J64</f>
        <v>28870.382753719612</v>
      </c>
      <c r="K86" s="199">
        <f ca="1">'Forecast Expenditure-Volumes'!K104*'Forecast Contributions'!K64</f>
        <v>28870.382753719612</v>
      </c>
      <c r="L86" s="199">
        <f ca="1">'Forecast Expenditure-Volumes'!L104*'Forecast Contributions'!L64</f>
        <v>28870.382753719612</v>
      </c>
      <c r="M86" s="199">
        <f ca="1">'Forecast Expenditure-Volumes'!M104*'Forecast Contributions'!M64</f>
        <v>28870.382753719612</v>
      </c>
      <c r="N86" s="143"/>
      <c r="O86" s="4"/>
      <c r="P86" s="4"/>
      <c r="Q86" s="4"/>
      <c r="R86" s="4"/>
      <c r="S86" s="4"/>
      <c r="T86" s="4"/>
    </row>
    <row r="87" spans="1:20" x14ac:dyDescent="0.2">
      <c r="A87" s="4"/>
      <c r="B87" s="72" t="s">
        <v>36</v>
      </c>
      <c r="C87" s="184">
        <f t="shared" ref="C87:M87" si="10">SUM(C74:C86)</f>
        <v>34593883.963265218</v>
      </c>
      <c r="D87" s="184">
        <f t="shared" si="10"/>
        <v>45391978.720683649</v>
      </c>
      <c r="E87" s="184">
        <f t="shared" si="10"/>
        <v>52019908.923848234</v>
      </c>
      <c r="F87" s="184">
        <f t="shared" si="10"/>
        <v>54190108.632235661</v>
      </c>
      <c r="G87" s="184">
        <f t="shared" ca="1" si="10"/>
        <v>63405178.99188628</v>
      </c>
      <c r="H87" s="184">
        <f t="shared" ca="1" si="10"/>
        <v>59136463.241914041</v>
      </c>
      <c r="I87" s="184">
        <f t="shared" ca="1" si="10"/>
        <v>51424635.487212077</v>
      </c>
      <c r="J87" s="184">
        <f t="shared" ca="1" si="10"/>
        <v>56415028.882215396</v>
      </c>
      <c r="K87" s="184">
        <f t="shared" ca="1" si="10"/>
        <v>48761124.49897024</v>
      </c>
      <c r="L87" s="184">
        <f t="shared" ca="1" si="10"/>
        <v>47269378.01474636</v>
      </c>
      <c r="M87" s="184">
        <f t="shared" ca="1" si="10"/>
        <v>47589334.072362036</v>
      </c>
      <c r="N87" s="143"/>
      <c r="O87" s="4"/>
      <c r="P87" s="4"/>
      <c r="Q87" s="4"/>
      <c r="R87" s="4"/>
      <c r="S87" s="4"/>
      <c r="T87" s="4"/>
    </row>
    <row r="88" spans="1:20" x14ac:dyDescent="0.2">
      <c r="A88" s="4"/>
      <c r="B88" s="4"/>
      <c r="C88" s="198"/>
      <c r="D88" s="198"/>
      <c r="E88" s="198"/>
      <c r="F88" s="198"/>
      <c r="G88" s="221"/>
      <c r="H88" s="221"/>
      <c r="I88" s="221"/>
      <c r="J88" s="221"/>
      <c r="K88" s="221"/>
      <c r="L88" s="221"/>
      <c r="M88" s="221"/>
      <c r="N88" s="143"/>
      <c r="O88" s="4"/>
      <c r="P88" s="4"/>
      <c r="Q88" s="4"/>
      <c r="R88" s="4"/>
      <c r="S88" s="4"/>
      <c r="T88" s="4"/>
    </row>
    <row r="89" spans="1:20" s="122" customFormat="1" x14ac:dyDescent="0.2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43"/>
      <c r="O89" s="123"/>
      <c r="P89" s="123"/>
      <c r="Q89" s="123"/>
      <c r="R89" s="123"/>
      <c r="S89" s="123"/>
      <c r="T89" s="123"/>
    </row>
    <row r="90" spans="1:20" s="122" customFormat="1" x14ac:dyDescent="0.2">
      <c r="A90" s="123"/>
      <c r="B90" s="123"/>
      <c r="C90" s="123"/>
      <c r="D90" s="123"/>
      <c r="E90" s="123"/>
      <c r="F90" s="123"/>
      <c r="G90" s="123"/>
      <c r="H90" s="123"/>
      <c r="I90" s="181"/>
      <c r="J90" s="181"/>
      <c r="K90" s="181"/>
      <c r="L90" s="181"/>
      <c r="M90" s="181"/>
      <c r="N90" s="143"/>
      <c r="O90" s="123"/>
      <c r="P90" s="123"/>
      <c r="Q90" s="123"/>
      <c r="R90" s="123"/>
      <c r="S90" s="123"/>
      <c r="T90" s="123"/>
    </row>
    <row r="91" spans="1:20" x14ac:dyDescent="0.2">
      <c r="A91" s="4"/>
      <c r="B91" s="34" t="s">
        <v>310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143"/>
      <c r="O91" s="4"/>
      <c r="P91" s="4"/>
      <c r="Q91" s="4"/>
      <c r="R91" s="4"/>
      <c r="S91" s="4"/>
      <c r="T91" s="4"/>
    </row>
    <row r="92" spans="1:20" x14ac:dyDescent="0.2">
      <c r="A92" s="4"/>
      <c r="B92" s="4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143"/>
      <c r="O92" s="4"/>
      <c r="P92" s="4"/>
      <c r="Q92" s="4"/>
      <c r="R92" s="4"/>
      <c r="S92" s="4"/>
      <c r="T92" s="4"/>
    </row>
    <row r="93" spans="1:20" x14ac:dyDescent="0.2">
      <c r="A93" s="4"/>
      <c r="B93" s="4"/>
      <c r="C93" s="308" t="str">
        <f>"$ "&amp;Inflation!$D$4</f>
        <v>$ 2021</v>
      </c>
      <c r="D93" s="289"/>
      <c r="E93" s="289"/>
      <c r="F93" s="289"/>
      <c r="G93" s="289"/>
      <c r="H93" s="289"/>
      <c r="I93" s="289"/>
      <c r="J93" s="289"/>
      <c r="K93" s="289"/>
      <c r="L93" s="289"/>
      <c r="M93" s="290"/>
      <c r="N93" s="143"/>
      <c r="O93" s="4"/>
      <c r="P93" s="4"/>
      <c r="Q93" s="4"/>
      <c r="R93" s="4"/>
      <c r="S93" s="4"/>
      <c r="T93" s="4"/>
    </row>
    <row r="94" spans="1:20" ht="25.5" x14ac:dyDescent="0.2">
      <c r="A94" s="4"/>
      <c r="B94" s="3" t="s">
        <v>35</v>
      </c>
      <c r="C94" s="3" t="s">
        <v>325</v>
      </c>
      <c r="D94" s="3" t="s">
        <v>326</v>
      </c>
      <c r="E94" s="3" t="s">
        <v>327</v>
      </c>
      <c r="F94" s="163" t="s">
        <v>328</v>
      </c>
      <c r="G94" s="3" t="s">
        <v>312</v>
      </c>
      <c r="H94" s="3" t="s">
        <v>313</v>
      </c>
      <c r="I94" s="3" t="s">
        <v>314</v>
      </c>
      <c r="J94" s="3" t="s">
        <v>315</v>
      </c>
      <c r="K94" s="3" t="s">
        <v>316</v>
      </c>
      <c r="L94" s="3" t="s">
        <v>317</v>
      </c>
      <c r="M94" s="172" t="s">
        <v>318</v>
      </c>
      <c r="N94" s="143"/>
      <c r="O94" s="4"/>
      <c r="P94" s="4"/>
      <c r="Q94" s="4"/>
      <c r="R94" s="4"/>
      <c r="S94" s="4"/>
      <c r="T94" s="4"/>
    </row>
    <row r="95" spans="1:20" x14ac:dyDescent="0.2">
      <c r="A95" s="4"/>
      <c r="B95" s="216">
        <f>IF('Historical Contributions'!B87=0," ",'Historical Contributions'!B87)</f>
        <v>102</v>
      </c>
      <c r="C95" s="199">
        <f t="shared" ref="C95:F95" si="11">C74-C29+C8</f>
        <v>537167.20304788847</v>
      </c>
      <c r="D95" s="199">
        <f t="shared" si="11"/>
        <v>1008975.6723136611</v>
      </c>
      <c r="E95" s="199">
        <f t="shared" si="11"/>
        <v>1737596.1323004304</v>
      </c>
      <c r="F95" s="199">
        <f t="shared" si="11"/>
        <v>2102362.9715077174</v>
      </c>
      <c r="G95" s="199">
        <f ca="1">G74-G29+G8</f>
        <v>1390857.1923018626</v>
      </c>
      <c r="H95" s="199">
        <f t="shared" ref="H95:M95" ca="1" si="12">H74-H29+H8</f>
        <v>1339391.8067193618</v>
      </c>
      <c r="I95" s="199">
        <f t="shared" ca="1" si="12"/>
        <v>712237.00144740636</v>
      </c>
      <c r="J95" s="199">
        <f t="shared" ca="1" si="12"/>
        <v>1263678.6520070333</v>
      </c>
      <c r="K95" s="199">
        <f t="shared" ca="1" si="12"/>
        <v>1284884.2337128487</v>
      </c>
      <c r="L95" s="199">
        <f t="shared" ca="1" si="12"/>
        <v>1291847.2605416242</v>
      </c>
      <c r="M95" s="199">
        <f t="shared" ca="1" si="12"/>
        <v>1299601.5404191238</v>
      </c>
      <c r="N95" s="143"/>
      <c r="O95" s="4"/>
      <c r="P95" s="4"/>
      <c r="Q95" s="4"/>
      <c r="R95" s="4"/>
      <c r="S95" s="4"/>
      <c r="T95" s="4"/>
    </row>
    <row r="96" spans="1:20" x14ac:dyDescent="0.2">
      <c r="A96" s="4"/>
      <c r="B96" s="216">
        <f>IF('Historical Contributions'!B88=0," ",'Historical Contributions'!B88)</f>
        <v>104</v>
      </c>
      <c r="C96" s="199">
        <f t="shared" ref="C96:G96" si="13">C75-C30+C9</f>
        <v>53170.824170680171</v>
      </c>
      <c r="D96" s="199">
        <f t="shared" si="13"/>
        <v>31063.500276046496</v>
      </c>
      <c r="E96" s="199">
        <f t="shared" si="13"/>
        <v>8466.2292817679554</v>
      </c>
      <c r="F96" s="199">
        <f t="shared" si="13"/>
        <v>8305.623306233063</v>
      </c>
      <c r="G96" s="199">
        <f t="shared" ca="1" si="13"/>
        <v>11053.213505913991</v>
      </c>
      <c r="H96" s="199">
        <f t="shared" ref="H96:M96" ca="1" si="14">H75-H30+H9</f>
        <v>11053.213505913991</v>
      </c>
      <c r="I96" s="199">
        <f t="shared" ca="1" si="14"/>
        <v>6080.6295643238154</v>
      </c>
      <c r="J96" s="199">
        <f t="shared" ca="1" si="14"/>
        <v>10495.313515101374</v>
      </c>
      <c r="K96" s="199">
        <f t="shared" ca="1" si="14"/>
        <v>10495.313515101374</v>
      </c>
      <c r="L96" s="199">
        <f t="shared" ca="1" si="14"/>
        <v>10495.313515101374</v>
      </c>
      <c r="M96" s="199">
        <f t="shared" ca="1" si="14"/>
        <v>10495.313515101374</v>
      </c>
      <c r="N96" s="143"/>
      <c r="O96" s="4"/>
      <c r="P96" s="4"/>
      <c r="Q96" s="4"/>
      <c r="R96" s="4"/>
      <c r="S96" s="4"/>
      <c r="T96" s="4"/>
    </row>
    <row r="97" spans="1:20" x14ac:dyDescent="0.2">
      <c r="A97" s="4"/>
      <c r="B97" s="216">
        <f>IF('Historical Contributions'!B89=0," ",'Historical Contributions'!B89)</f>
        <v>105</v>
      </c>
      <c r="C97" s="199">
        <f t="shared" ref="C97:G97" si="15">C76-C31+C10</f>
        <v>2201266.6807137118</v>
      </c>
      <c r="D97" s="199">
        <f t="shared" si="15"/>
        <v>3472930.4754036176</v>
      </c>
      <c r="E97" s="199">
        <f t="shared" si="15"/>
        <v>3991804.5473644189</v>
      </c>
      <c r="F97" s="199">
        <f t="shared" si="15"/>
        <v>4454299.8002071343</v>
      </c>
      <c r="G97" s="199">
        <f t="shared" ca="1" si="15"/>
        <v>3860594.1800878402</v>
      </c>
      <c r="H97" s="199">
        <f t="shared" ref="H97:M97" ca="1" si="16">H76-H31+H10</f>
        <v>3759650.8756806296</v>
      </c>
      <c r="I97" s="199">
        <f t="shared" ca="1" si="16"/>
        <v>3229892.4532278045</v>
      </c>
      <c r="J97" s="199">
        <f t="shared" ca="1" si="16"/>
        <v>2574739.0417320156</v>
      </c>
      <c r="K97" s="199">
        <f t="shared" ca="1" si="16"/>
        <v>2588981.5071993154</v>
      </c>
      <c r="L97" s="199">
        <f t="shared" ca="1" si="16"/>
        <v>2873830.8165453114</v>
      </c>
      <c r="M97" s="199">
        <f t="shared" ca="1" si="16"/>
        <v>2934684.9871783191</v>
      </c>
      <c r="N97" s="143"/>
      <c r="O97" s="4"/>
      <c r="P97" s="4"/>
      <c r="Q97" s="4"/>
      <c r="R97" s="4"/>
      <c r="S97" s="4"/>
      <c r="T97" s="4"/>
    </row>
    <row r="98" spans="1:20" x14ac:dyDescent="0.2">
      <c r="A98" s="4"/>
      <c r="B98" s="216">
        <f>IF('Historical Contributions'!B90=0," ",'Historical Contributions'!B90)</f>
        <v>106</v>
      </c>
      <c r="C98" s="199">
        <f t="shared" ref="C98:G98" si="17">C77-C32+C11</f>
        <v>4617596.2573988242</v>
      </c>
      <c r="D98" s="199">
        <f t="shared" si="17"/>
        <v>4621567.7706346558</v>
      </c>
      <c r="E98" s="199">
        <f t="shared" si="17"/>
        <v>5169168.2241913509</v>
      </c>
      <c r="F98" s="199">
        <f t="shared" si="17"/>
        <v>5464863.5961696645</v>
      </c>
      <c r="G98" s="199">
        <f t="shared" ca="1" si="17"/>
        <v>5270318.2516227448</v>
      </c>
      <c r="H98" s="199">
        <f ca="1">H77-H32+H11</f>
        <v>5340014.4945067586</v>
      </c>
      <c r="I98" s="199">
        <f t="shared" ref="I98:M98" ca="1" si="18">I77-I32+I11</f>
        <v>4883188.7337313974</v>
      </c>
      <c r="J98" s="199">
        <f t="shared" ca="1" si="18"/>
        <v>4599671.6231184108</v>
      </c>
      <c r="K98" s="199">
        <f t="shared" ca="1" si="18"/>
        <v>4514105.6482937718</v>
      </c>
      <c r="L98" s="199">
        <f t="shared" ca="1" si="18"/>
        <v>4659056.9638549155</v>
      </c>
      <c r="M98" s="199">
        <f t="shared" ca="1" si="18"/>
        <v>4733767.5538137425</v>
      </c>
      <c r="N98" s="143"/>
      <c r="O98" s="4"/>
      <c r="P98" s="4"/>
      <c r="Q98" s="4"/>
      <c r="R98" s="4"/>
      <c r="S98" s="4"/>
      <c r="T98" s="4"/>
    </row>
    <row r="99" spans="1:20" x14ac:dyDescent="0.2">
      <c r="A99" s="4"/>
      <c r="B99" s="216">
        <f>IF('Historical Contributions'!B91=0," ",'Historical Contributions'!B91)</f>
        <v>107</v>
      </c>
      <c r="C99" s="199">
        <f t="shared" ref="C99:G99" si="19">C78-C33+C12</f>
        <v>2274107.3679459933</v>
      </c>
      <c r="D99" s="199">
        <f t="shared" si="19"/>
        <v>2485975.6057578688</v>
      </c>
      <c r="E99" s="199">
        <f t="shared" si="19"/>
        <v>952625.28383975383</v>
      </c>
      <c r="F99" s="199">
        <f t="shared" si="19"/>
        <v>1480754.1534041988</v>
      </c>
      <c r="G99" s="199">
        <f t="shared" ca="1" si="19"/>
        <v>2041299.1721329684</v>
      </c>
      <c r="H99" s="199">
        <f t="shared" ref="H99:M99" ca="1" si="20">H78-H33+H12</f>
        <v>3706344.8517232048</v>
      </c>
      <c r="I99" s="199">
        <f t="shared" ca="1" si="20"/>
        <v>2232299.710279536</v>
      </c>
      <c r="J99" s="199">
        <f t="shared" ca="1" si="20"/>
        <v>2874543.0934694447</v>
      </c>
      <c r="K99" s="199">
        <f t="shared" ca="1" si="20"/>
        <v>4122840.8591464949</v>
      </c>
      <c r="L99" s="199">
        <f t="shared" ca="1" si="20"/>
        <v>1626245.3277923935</v>
      </c>
      <c r="M99" s="199">
        <f t="shared" ca="1" si="20"/>
        <v>1626245.3277923935</v>
      </c>
      <c r="N99" s="143"/>
      <c r="O99" s="4"/>
      <c r="P99" s="4"/>
      <c r="Q99" s="4"/>
      <c r="R99" s="4"/>
      <c r="S99" s="4"/>
      <c r="T99" s="4"/>
    </row>
    <row r="100" spans="1:20" x14ac:dyDescent="0.2">
      <c r="A100" s="4"/>
      <c r="B100" s="216">
        <f>IF('Historical Contributions'!B92=0," ",'Historical Contributions'!B92)</f>
        <v>108</v>
      </c>
      <c r="C100" s="199">
        <f t="shared" ref="C100:G100" si="21">C79-C34+C13</f>
        <v>0</v>
      </c>
      <c r="D100" s="199">
        <f t="shared" si="21"/>
        <v>0</v>
      </c>
      <c r="E100" s="199">
        <f t="shared" si="21"/>
        <v>0</v>
      </c>
      <c r="F100" s="199">
        <f t="shared" si="21"/>
        <v>0</v>
      </c>
      <c r="G100" s="199">
        <f t="shared" ca="1" si="21"/>
        <v>0</v>
      </c>
      <c r="H100" s="199">
        <f t="shared" ref="H100:M100" ca="1" si="22">H79-H34+H13</f>
        <v>0</v>
      </c>
      <c r="I100" s="199">
        <f t="shared" ca="1" si="22"/>
        <v>0</v>
      </c>
      <c r="J100" s="199">
        <f t="shared" ca="1" si="22"/>
        <v>0</v>
      </c>
      <c r="K100" s="199">
        <f t="shared" ca="1" si="22"/>
        <v>0</v>
      </c>
      <c r="L100" s="199">
        <f t="shared" ca="1" si="22"/>
        <v>0</v>
      </c>
      <c r="M100" s="199">
        <f t="shared" ca="1" si="22"/>
        <v>0</v>
      </c>
      <c r="N100" s="143"/>
      <c r="O100" s="4"/>
      <c r="P100" s="4"/>
      <c r="Q100" s="4"/>
      <c r="R100" s="4"/>
      <c r="S100" s="4"/>
      <c r="T100" s="4"/>
    </row>
    <row r="101" spans="1:20" x14ac:dyDescent="0.2">
      <c r="A101" s="4"/>
      <c r="B101" s="216">
        <f>IF('Historical Contributions'!B93=0," ",'Historical Contributions'!B93)</f>
        <v>109</v>
      </c>
      <c r="C101" s="199">
        <f t="shared" ref="C101:G101" si="23">C80-C35+C14</f>
        <v>2186686.1367392684</v>
      </c>
      <c r="D101" s="199">
        <f t="shared" si="23"/>
        <v>4711552.9714753097</v>
      </c>
      <c r="E101" s="199">
        <f t="shared" si="23"/>
        <v>5039907.262043234</v>
      </c>
      <c r="F101" s="199">
        <f t="shared" si="23"/>
        <v>5601311.1756790308</v>
      </c>
      <c r="G101" s="199">
        <f t="shared" ca="1" si="23"/>
        <v>5158357.3445701115</v>
      </c>
      <c r="H101" s="199">
        <f t="shared" ref="H101:M101" ca="1" si="24">H80-H35+H14</f>
        <v>4967064.4382182611</v>
      </c>
      <c r="I101" s="199">
        <f t="shared" ca="1" si="24"/>
        <v>2640753.2198517728</v>
      </c>
      <c r="J101" s="199">
        <f ca="1">J80-J35+J14</f>
        <v>4685644.4264946282</v>
      </c>
      <c r="K101" s="199">
        <f t="shared" ca="1" si="24"/>
        <v>4764463.9536287328</v>
      </c>
      <c r="L101" s="199">
        <f t="shared" ca="1" si="24"/>
        <v>4790344.9923891863</v>
      </c>
      <c r="M101" s="199">
        <f t="shared" ca="1" si="24"/>
        <v>4819167.0582815073</v>
      </c>
      <c r="N101" s="143"/>
      <c r="O101" s="4"/>
      <c r="P101" s="4"/>
      <c r="Q101" s="4"/>
      <c r="R101" s="4"/>
      <c r="S101" s="4"/>
      <c r="T101" s="4"/>
    </row>
    <row r="102" spans="1:20" x14ac:dyDescent="0.2">
      <c r="A102" s="4"/>
      <c r="B102" s="216">
        <f>IF('Historical Contributions'!B94=0," ",'Historical Contributions'!B94)</f>
        <v>110</v>
      </c>
      <c r="C102" s="199">
        <f t="shared" ref="C102:G102" si="25">C81-C36+C15</f>
        <v>0</v>
      </c>
      <c r="D102" s="199">
        <f t="shared" si="25"/>
        <v>0</v>
      </c>
      <c r="E102" s="199">
        <f t="shared" si="25"/>
        <v>0</v>
      </c>
      <c r="F102" s="199">
        <f t="shared" si="25"/>
        <v>0</v>
      </c>
      <c r="G102" s="199">
        <f t="shared" ca="1" si="25"/>
        <v>0</v>
      </c>
      <c r="H102" s="199">
        <f t="shared" ref="H102:M102" ca="1" si="26">H81-H36+H15</f>
        <v>0</v>
      </c>
      <c r="I102" s="199">
        <f t="shared" ca="1" si="26"/>
        <v>0</v>
      </c>
      <c r="J102" s="199">
        <f t="shared" ca="1" si="26"/>
        <v>0</v>
      </c>
      <c r="K102" s="199">
        <f t="shared" ca="1" si="26"/>
        <v>0</v>
      </c>
      <c r="L102" s="199">
        <f t="shared" ca="1" si="26"/>
        <v>0</v>
      </c>
      <c r="M102" s="199">
        <f t="shared" ca="1" si="26"/>
        <v>0</v>
      </c>
      <c r="N102" s="143"/>
      <c r="O102" s="4"/>
      <c r="P102" s="4"/>
      <c r="Q102" s="4"/>
      <c r="R102" s="4"/>
      <c r="S102" s="4"/>
      <c r="T102" s="4"/>
    </row>
    <row r="103" spans="1:20" x14ac:dyDescent="0.2">
      <c r="A103" s="4"/>
      <c r="B103" s="216">
        <f>IF('Historical Contributions'!B95=0," ",'Historical Contributions'!B95)</f>
        <v>111</v>
      </c>
      <c r="C103" s="199">
        <f t="shared" ref="C103:G103" si="27">C82-C37+C16</f>
        <v>5878365.6459396593</v>
      </c>
      <c r="D103" s="199">
        <f t="shared" si="27"/>
        <v>7152743.5177038843</v>
      </c>
      <c r="E103" s="199">
        <f t="shared" si="27"/>
        <v>9946902.8015142605</v>
      </c>
      <c r="F103" s="199">
        <f t="shared" si="27"/>
        <v>11420850.062044797</v>
      </c>
      <c r="G103" s="199">
        <f t="shared" ca="1" si="27"/>
        <v>9424951.0137196146</v>
      </c>
      <c r="H103" s="199">
        <f t="shared" ref="H103:M103" ca="1" si="28">H82-H37+H16</f>
        <v>8702760.2344451472</v>
      </c>
      <c r="I103" s="199">
        <f t="shared" ca="1" si="28"/>
        <v>7390142.4191864273</v>
      </c>
      <c r="J103" s="199">
        <f t="shared" ca="1" si="28"/>
        <v>7122663.9034053851</v>
      </c>
      <c r="K103" s="199">
        <f t="shared" ca="1" si="28"/>
        <v>7742727.7354432568</v>
      </c>
      <c r="L103" s="199">
        <f t="shared" ca="1" si="28"/>
        <v>8118953.8296100283</v>
      </c>
      <c r="M103" s="199">
        <f t="shared" ca="1" si="28"/>
        <v>8194604.3189218361</v>
      </c>
      <c r="N103" s="143"/>
      <c r="O103" s="4"/>
      <c r="P103" s="4"/>
      <c r="Q103" s="4"/>
      <c r="R103" s="4"/>
      <c r="S103" s="4"/>
      <c r="T103" s="4"/>
    </row>
    <row r="104" spans="1:20" x14ac:dyDescent="0.2">
      <c r="A104" s="4"/>
      <c r="B104" s="216">
        <f>IF('Historical Contributions'!B96=0," ",'Historical Contributions'!B96)</f>
        <v>114</v>
      </c>
      <c r="C104" s="199">
        <f t="shared" ref="C104:G104" si="29">C83-C38+C17</f>
        <v>0</v>
      </c>
      <c r="D104" s="199">
        <f t="shared" si="29"/>
        <v>0</v>
      </c>
      <c r="E104" s="199">
        <f t="shared" si="29"/>
        <v>0</v>
      </c>
      <c r="F104" s="199">
        <f t="shared" si="29"/>
        <v>0</v>
      </c>
      <c r="G104" s="199">
        <f t="shared" ca="1" si="29"/>
        <v>0</v>
      </c>
      <c r="H104" s="199">
        <f t="shared" ref="H104:M104" ca="1" si="30">H83-H38+H17</f>
        <v>0</v>
      </c>
      <c r="I104" s="199">
        <f t="shared" ca="1" si="30"/>
        <v>0</v>
      </c>
      <c r="J104" s="199">
        <f t="shared" ca="1" si="30"/>
        <v>0</v>
      </c>
      <c r="K104" s="199">
        <f t="shared" ca="1" si="30"/>
        <v>0</v>
      </c>
      <c r="L104" s="199">
        <f t="shared" ca="1" si="30"/>
        <v>0</v>
      </c>
      <c r="M104" s="199">
        <f t="shared" ca="1" si="30"/>
        <v>0</v>
      </c>
      <c r="N104" s="143"/>
      <c r="O104" s="4"/>
      <c r="P104" s="4"/>
      <c r="Q104" s="4"/>
      <c r="R104" s="4"/>
      <c r="S104" s="4"/>
      <c r="T104" s="4"/>
    </row>
    <row r="105" spans="1:20" x14ac:dyDescent="0.2">
      <c r="A105" s="4"/>
      <c r="B105" s="216">
        <f>IF('Historical Contributions'!B97=0," ",'Historical Contributions'!B97)</f>
        <v>115</v>
      </c>
      <c r="C105" s="199">
        <f t="shared" ref="C105:G105" si="31">C84-C39+C18</f>
        <v>0</v>
      </c>
      <c r="D105" s="199">
        <f t="shared" si="31"/>
        <v>0</v>
      </c>
      <c r="E105" s="199">
        <f t="shared" si="31"/>
        <v>0</v>
      </c>
      <c r="F105" s="199">
        <f t="shared" si="31"/>
        <v>0</v>
      </c>
      <c r="G105" s="199">
        <f t="shared" ca="1" si="31"/>
        <v>0</v>
      </c>
      <c r="H105" s="199">
        <f t="shared" ref="H105:M105" ca="1" si="32">H84-H39+H18</f>
        <v>0</v>
      </c>
      <c r="I105" s="199">
        <f t="shared" ca="1" si="32"/>
        <v>0</v>
      </c>
      <c r="J105" s="199">
        <f t="shared" ca="1" si="32"/>
        <v>0</v>
      </c>
      <c r="K105" s="199">
        <f t="shared" ca="1" si="32"/>
        <v>0</v>
      </c>
      <c r="L105" s="199">
        <f t="shared" ca="1" si="32"/>
        <v>0</v>
      </c>
      <c r="M105" s="199">
        <f t="shared" ca="1" si="32"/>
        <v>0</v>
      </c>
      <c r="N105" s="143"/>
      <c r="O105" s="4"/>
      <c r="P105" s="4"/>
      <c r="Q105" s="4"/>
      <c r="R105" s="4"/>
      <c r="S105" s="4"/>
      <c r="T105" s="4"/>
    </row>
    <row r="106" spans="1:20" x14ac:dyDescent="0.2">
      <c r="A106" s="4"/>
      <c r="B106" s="216">
        <f>IF('Historical Contributions'!B98=0," ",'Historical Contributions'!B98)</f>
        <v>116</v>
      </c>
      <c r="C106" s="199">
        <f t="shared" ref="C106:G106" si="33">C85-C40+C19</f>
        <v>20638194.998878501</v>
      </c>
      <c r="D106" s="199">
        <f t="shared" si="33"/>
        <v>25233497.67635683</v>
      </c>
      <c r="E106" s="199">
        <f t="shared" si="33"/>
        <v>25332454.820879996</v>
      </c>
      <c r="F106" s="199">
        <f t="shared" si="33"/>
        <v>23789313.15932956</v>
      </c>
      <c r="G106" s="199">
        <f t="shared" ca="1" si="33"/>
        <v>37535111.553560957</v>
      </c>
      <c r="H106" s="199">
        <f t="shared" ref="H106:M106" ca="1" si="34">H85-H40+H19</f>
        <v>32597546.256730489</v>
      </c>
      <c r="I106" s="199">
        <f t="shared" ca="1" si="34"/>
        <v>31625911.766693603</v>
      </c>
      <c r="J106" s="199">
        <f t="shared" ca="1" si="34"/>
        <v>34570955.75808911</v>
      </c>
      <c r="K106" s="199">
        <f t="shared" ca="1" si="34"/>
        <v>25019988.177646447</v>
      </c>
      <c r="L106" s="199">
        <f t="shared" ca="1" si="34"/>
        <v>25185966.440113533</v>
      </c>
      <c r="M106" s="199">
        <f t="shared" ca="1" si="34"/>
        <v>25258130.90205574</v>
      </c>
      <c r="N106" s="143"/>
      <c r="O106" s="4"/>
      <c r="P106" s="4"/>
      <c r="Q106" s="4"/>
      <c r="R106" s="4"/>
      <c r="S106" s="4"/>
      <c r="T106" s="4"/>
    </row>
    <row r="107" spans="1:20" x14ac:dyDescent="0.2">
      <c r="A107" s="4"/>
      <c r="B107" s="216">
        <f>IF('Historical Contributions'!B99=0," ",'Historical Contributions'!B99)</f>
        <v>118</v>
      </c>
      <c r="C107" s="199">
        <f t="shared" ref="C107:G107" si="35">C86-C41+C20</f>
        <v>100936.83237781064</v>
      </c>
      <c r="D107" s="199">
        <f t="shared" si="35"/>
        <v>68178.353087348383</v>
      </c>
      <c r="E107" s="199">
        <f t="shared" si="35"/>
        <v>61565.140849223419</v>
      </c>
      <c r="F107" s="199">
        <f t="shared" si="35"/>
        <v>17907.29048295159</v>
      </c>
      <c r="G107" s="199">
        <f t="shared" ca="1" si="35"/>
        <v>28870.382753719612</v>
      </c>
      <c r="H107" s="199">
        <f t="shared" ref="H107:M107" ca="1" si="36">H86-H41+H20</f>
        <v>28870.382753719612</v>
      </c>
      <c r="I107" s="199">
        <f t="shared" ca="1" si="36"/>
        <v>16726.523000291359</v>
      </c>
      <c r="J107" s="199">
        <f t="shared" ca="1" si="36"/>
        <v>28870.382753719612</v>
      </c>
      <c r="K107" s="199">
        <f t="shared" ca="1" si="36"/>
        <v>28870.382753719612</v>
      </c>
      <c r="L107" s="199">
        <f t="shared" ca="1" si="36"/>
        <v>28870.382753719612</v>
      </c>
      <c r="M107" s="199">
        <f t="shared" ca="1" si="36"/>
        <v>28870.382753719612</v>
      </c>
      <c r="N107" s="143"/>
      <c r="O107" s="4"/>
      <c r="P107" s="4"/>
      <c r="Q107" s="4"/>
      <c r="R107" s="4"/>
      <c r="S107" s="4"/>
      <c r="T107" s="4"/>
    </row>
    <row r="108" spans="1:20" x14ac:dyDescent="0.2">
      <c r="A108" s="4"/>
      <c r="B108" s="72" t="s">
        <v>36</v>
      </c>
      <c r="C108" s="184">
        <f t="shared" ref="C108:M108" si="37">SUM(C95:C107)</f>
        <v>38487491.947212346</v>
      </c>
      <c r="D108" s="184">
        <f t="shared" si="37"/>
        <v>48786485.543009222</v>
      </c>
      <c r="E108" s="184">
        <f t="shared" si="37"/>
        <v>52240490.442264438</v>
      </c>
      <c r="F108" s="184">
        <f t="shared" si="37"/>
        <v>54339967.832131296</v>
      </c>
      <c r="G108" s="184">
        <f t="shared" ca="1" si="37"/>
        <v>64721412.304255731</v>
      </c>
      <c r="H108" s="184">
        <f t="shared" ca="1" si="37"/>
        <v>60452696.554283492</v>
      </c>
      <c r="I108" s="184">
        <f t="shared" ca="1" si="37"/>
        <v>52737232.45698256</v>
      </c>
      <c r="J108" s="184">
        <f t="shared" ca="1" si="37"/>
        <v>57731262.194584854</v>
      </c>
      <c r="K108" s="184">
        <f t="shared" ca="1" si="37"/>
        <v>50077357.811339691</v>
      </c>
      <c r="L108" s="184">
        <f t="shared" ca="1" si="37"/>
        <v>48585611.327115811</v>
      </c>
      <c r="M108" s="184">
        <f t="shared" ca="1" si="37"/>
        <v>48905567.384731486</v>
      </c>
      <c r="N108" s="143"/>
      <c r="O108" s="4"/>
      <c r="P108" s="4"/>
      <c r="Q108" s="4"/>
      <c r="R108" s="4"/>
      <c r="S108" s="4"/>
      <c r="T108" s="4"/>
    </row>
    <row r="109" spans="1:20" x14ac:dyDescent="0.2">
      <c r="A109" s="4"/>
      <c r="B109" s="4" t="s">
        <v>231</v>
      </c>
      <c r="C109" s="198">
        <f>C21-C42+C87-C108</f>
        <v>0</v>
      </c>
      <c r="D109" s="198">
        <f t="shared" ref="D109:M109" si="38">D21-D42+D87-D108</f>
        <v>0</v>
      </c>
      <c r="E109" s="198">
        <f t="shared" si="38"/>
        <v>0</v>
      </c>
      <c r="F109" s="198">
        <f t="shared" si="38"/>
        <v>0</v>
      </c>
      <c r="G109" s="198">
        <f t="shared" ca="1" si="38"/>
        <v>0</v>
      </c>
      <c r="H109" s="198">
        <f t="shared" ca="1" si="38"/>
        <v>0</v>
      </c>
      <c r="I109" s="198">
        <f t="shared" ca="1" si="38"/>
        <v>0</v>
      </c>
      <c r="J109" s="198">
        <f t="shared" ca="1" si="38"/>
        <v>0</v>
      </c>
      <c r="K109" s="198">
        <f t="shared" ca="1" si="38"/>
        <v>0</v>
      </c>
      <c r="L109" s="198">
        <f t="shared" ca="1" si="38"/>
        <v>0</v>
      </c>
      <c r="M109" s="198">
        <f t="shared" ca="1" si="38"/>
        <v>0</v>
      </c>
      <c r="N109" s="143"/>
      <c r="O109" s="4"/>
      <c r="P109" s="4"/>
      <c r="Q109" s="4"/>
      <c r="R109" s="4"/>
      <c r="S109" s="4"/>
      <c r="T109" s="4"/>
    </row>
    <row r="110" spans="1:20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143"/>
      <c r="O110" s="4"/>
      <c r="P110" s="4"/>
      <c r="Q110" s="4"/>
      <c r="R110" s="4"/>
      <c r="S110" s="4"/>
      <c r="T110" s="4"/>
    </row>
    <row r="111" spans="1:20" ht="15.75" x14ac:dyDescent="0.25">
      <c r="A111" s="28"/>
      <c r="B111" s="28" t="s">
        <v>307</v>
      </c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1:20" x14ac:dyDescent="0.2">
      <c r="A112" s="126"/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43"/>
      <c r="O112" s="126"/>
      <c r="P112" s="126"/>
      <c r="Q112" s="126"/>
      <c r="R112" s="126"/>
      <c r="S112" s="126"/>
      <c r="T112" s="126"/>
    </row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</sheetData>
  <mergeCells count="7">
    <mergeCell ref="C6:M6"/>
    <mergeCell ref="C27:M27"/>
    <mergeCell ref="C72:M72"/>
    <mergeCell ref="C93:M93"/>
    <mergeCell ref="B45:M45"/>
    <mergeCell ref="B67:M67"/>
    <mergeCell ref="C50:M50"/>
  </mergeCells>
  <hyperlinks>
    <hyperlink ref="M1" location="Menu!A1" display="Menu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P28"/>
  <sheetViews>
    <sheetView showGridLines="0" zoomScale="75" zoomScaleNormal="75" workbookViewId="0">
      <selection activeCell="A17" sqref="A17"/>
    </sheetView>
  </sheetViews>
  <sheetFormatPr defaultColWidth="9.140625" defaultRowHeight="15" x14ac:dyDescent="0.25"/>
  <cols>
    <col min="1" max="2" width="3.7109375" style="239" customWidth="1"/>
    <col min="3" max="3" width="41.85546875" style="239" customWidth="1"/>
    <col min="4" max="8" width="8.7109375" style="239" customWidth="1"/>
    <col min="9" max="9" width="2.7109375" style="239" customWidth="1"/>
    <col min="10" max="11" width="8.7109375" style="239" customWidth="1"/>
    <col min="12" max="12" width="2.7109375" style="239" customWidth="1"/>
    <col min="13" max="14" width="8.7109375" style="239" customWidth="1"/>
    <col min="15" max="15" width="2.7109375" style="239" customWidth="1"/>
    <col min="16" max="16" width="54.5703125" style="239" customWidth="1"/>
    <col min="17" max="16384" width="9.140625" style="239"/>
  </cols>
  <sheetData>
    <row r="1" spans="1:16" x14ac:dyDescent="0.25">
      <c r="A1" s="238" t="s">
        <v>358</v>
      </c>
      <c r="B1" s="238"/>
    </row>
    <row r="2" spans="1:16" x14ac:dyDescent="0.25">
      <c r="A2" s="238"/>
      <c r="B2" s="238"/>
      <c r="P2" s="238"/>
    </row>
    <row r="3" spans="1:16" ht="3.95" customHeight="1" x14ac:dyDescent="0.25">
      <c r="A3" s="238"/>
      <c r="B3" s="240"/>
      <c r="C3" s="241"/>
      <c r="D3" s="241"/>
      <c r="E3" s="241"/>
      <c r="F3" s="241"/>
      <c r="G3" s="241"/>
      <c r="H3" s="241"/>
      <c r="I3" s="242"/>
    </row>
    <row r="4" spans="1:16" x14ac:dyDescent="0.25">
      <c r="B4" s="243"/>
      <c r="C4" s="262" t="s">
        <v>360</v>
      </c>
      <c r="D4" s="244" t="s">
        <v>359</v>
      </c>
      <c r="E4" s="244"/>
      <c r="F4" s="244"/>
      <c r="G4" s="245"/>
      <c r="H4" s="263">
        <f>E21/D21-1</f>
        <v>-0.10213092698132742</v>
      </c>
      <c r="I4" s="246"/>
    </row>
    <row r="5" spans="1:16" ht="3.95" customHeight="1" x14ac:dyDescent="0.25">
      <c r="B5" s="247"/>
      <c r="C5" s="248"/>
      <c r="D5" s="248"/>
      <c r="E5" s="248"/>
      <c r="F5" s="248"/>
      <c r="G5" s="248"/>
      <c r="H5" s="248"/>
      <c r="I5" s="249"/>
    </row>
    <row r="6" spans="1:16" x14ac:dyDescent="0.25">
      <c r="P6" s="238"/>
    </row>
    <row r="7" spans="1:16" x14ac:dyDescent="0.25">
      <c r="D7" s="312" t="s">
        <v>360</v>
      </c>
      <c r="E7" s="312"/>
      <c r="J7"/>
      <c r="K7"/>
    </row>
    <row r="8" spans="1:16" x14ac:dyDescent="0.25">
      <c r="D8" s="264" t="s">
        <v>361</v>
      </c>
      <c r="E8" s="264" t="s">
        <v>362</v>
      </c>
      <c r="J8"/>
      <c r="K8"/>
    </row>
    <row r="9" spans="1:16" x14ac:dyDescent="0.25">
      <c r="C9" s="239" t="s">
        <v>363</v>
      </c>
      <c r="D9" s="265">
        <v>0.72</v>
      </c>
      <c r="E9" s="266">
        <f>D9</f>
        <v>0.72</v>
      </c>
      <c r="G9" s="239" t="s">
        <v>364</v>
      </c>
      <c r="J9"/>
      <c r="K9"/>
    </row>
    <row r="10" spans="1:16" x14ac:dyDescent="0.25">
      <c r="C10" s="239" t="s">
        <v>365</v>
      </c>
      <c r="D10" s="265">
        <v>0.35</v>
      </c>
      <c r="E10" s="267"/>
      <c r="G10" s="239" t="s">
        <v>366</v>
      </c>
      <c r="J10"/>
      <c r="K10"/>
    </row>
    <row r="11" spans="1:16" x14ac:dyDescent="0.25">
      <c r="C11" s="239" t="s">
        <v>367</v>
      </c>
      <c r="D11" s="265">
        <v>0.51</v>
      </c>
      <c r="E11" s="267"/>
      <c r="G11" s="239" t="s">
        <v>368</v>
      </c>
      <c r="J11"/>
      <c r="K11"/>
    </row>
    <row r="12" spans="1:16" x14ac:dyDescent="0.25">
      <c r="C12" s="239" t="s">
        <v>369</v>
      </c>
      <c r="D12" s="268">
        <v>4.2900000000000001E-2</v>
      </c>
      <c r="E12" s="268">
        <v>2.5100000000000001E-2</v>
      </c>
      <c r="G12" s="239" t="s">
        <v>370</v>
      </c>
      <c r="I12" s="251"/>
      <c r="J12"/>
      <c r="K12"/>
      <c r="L12" s="251"/>
    </row>
    <row r="13" spans="1:16" x14ac:dyDescent="0.25">
      <c r="C13" s="239" t="s">
        <v>371</v>
      </c>
      <c r="D13" s="267"/>
      <c r="E13" s="268">
        <v>0.1353</v>
      </c>
      <c r="G13" s="239" t="s">
        <v>372</v>
      </c>
      <c r="I13" s="251"/>
      <c r="J13"/>
      <c r="K13"/>
      <c r="L13" s="251"/>
    </row>
    <row r="15" spans="1:16" x14ac:dyDescent="0.25">
      <c r="A15" s="238"/>
      <c r="B15" s="252" t="s">
        <v>373</v>
      </c>
      <c r="C15" s="253"/>
      <c r="D15" s="254"/>
      <c r="E15" s="254"/>
    </row>
    <row r="16" spans="1:16" x14ac:dyDescent="0.25">
      <c r="D16" s="250" t="s">
        <v>361</v>
      </c>
      <c r="E16" s="250" t="s">
        <v>362</v>
      </c>
    </row>
    <row r="17" spans="2:6" x14ac:dyDescent="0.25">
      <c r="C17" s="239" t="s">
        <v>374</v>
      </c>
      <c r="D17" s="255">
        <v>1000</v>
      </c>
      <c r="E17" s="256">
        <f>D17</f>
        <v>1000</v>
      </c>
    </row>
    <row r="18" spans="2:6" x14ac:dyDescent="0.25">
      <c r="C18" s="239" t="s">
        <v>375</v>
      </c>
      <c r="D18" s="256">
        <f>D17*$D$10</f>
        <v>350</v>
      </c>
      <c r="E18" s="256">
        <f>D18</f>
        <v>350</v>
      </c>
    </row>
    <row r="19" spans="2:6" x14ac:dyDescent="0.25">
      <c r="C19" s="239" t="s">
        <v>376</v>
      </c>
      <c r="D19" s="256">
        <f>D17*(1+D10-D11)</f>
        <v>840.00000000000011</v>
      </c>
      <c r="E19" s="256">
        <f>D19*(1+D28)</f>
        <v>892.08677276047706</v>
      </c>
    </row>
    <row r="20" spans="2:6" x14ac:dyDescent="0.25">
      <c r="C20" s="239" t="s">
        <v>377</v>
      </c>
      <c r="D20" s="256">
        <f>D17+D18-D19</f>
        <v>509.99999999999989</v>
      </c>
      <c r="E20" s="256">
        <f>E17+E18-E19</f>
        <v>457.91322723952294</v>
      </c>
    </row>
    <row r="21" spans="2:6" x14ac:dyDescent="0.25">
      <c r="C21" s="239" t="s">
        <v>367</v>
      </c>
      <c r="D21" s="257">
        <f>D20/D17</f>
        <v>0.5099999999999999</v>
      </c>
      <c r="E21" s="257">
        <f>E20/E17</f>
        <v>0.45791322723952294</v>
      </c>
      <c r="F21" s="258"/>
    </row>
    <row r="22" spans="2:6" x14ac:dyDescent="0.25">
      <c r="D22" s="259"/>
    </row>
    <row r="23" spans="2:6" x14ac:dyDescent="0.25">
      <c r="B23" s="252" t="s">
        <v>378</v>
      </c>
      <c r="C23" s="254"/>
      <c r="D23" s="254"/>
      <c r="E23" s="254"/>
    </row>
    <row r="24" spans="2:6" x14ac:dyDescent="0.25">
      <c r="C24" s="260"/>
      <c r="D24" s="250" t="s">
        <v>361</v>
      </c>
      <c r="E24" s="250" t="s">
        <v>362</v>
      </c>
    </row>
    <row r="25" spans="2:6" x14ac:dyDescent="0.25">
      <c r="C25" s="239" t="s">
        <v>379</v>
      </c>
      <c r="D25" s="256">
        <f>PV(D$12,30,-1)</f>
        <v>16.699091400686424</v>
      </c>
      <c r="E25" s="256">
        <f>PV(E$12,30,-(1-E$13))</f>
        <v>18.074316008633971</v>
      </c>
    </row>
    <row r="26" spans="2:6" x14ac:dyDescent="0.25">
      <c r="C26" s="239" t="s">
        <v>380</v>
      </c>
      <c r="D26" s="256">
        <f>PV(D$12,15,-1)</f>
        <v>10.896281855183044</v>
      </c>
      <c r="E26" s="256">
        <f>PV(E$12,15,-(1-E$13))</f>
        <v>10.698305843278302</v>
      </c>
    </row>
    <row r="27" spans="2:6" x14ac:dyDescent="0.25">
      <c r="C27" s="239" t="s">
        <v>381</v>
      </c>
      <c r="D27" s="256">
        <f>D25*D$9+D26*(1-D$9)</f>
        <v>15.074304727945478</v>
      </c>
      <c r="E27" s="256">
        <f>E25*E$9+E26*(1-E$9)</f>
        <v>16.009033162334383</v>
      </c>
    </row>
    <row r="28" spans="2:6" x14ac:dyDescent="0.25">
      <c r="C28" s="239" t="s">
        <v>382</v>
      </c>
      <c r="D28" s="261">
        <f>E27/D27-1</f>
        <v>6.2008062810091635E-2</v>
      </c>
    </row>
  </sheetData>
  <mergeCells count="1">
    <mergeCell ref="D7:E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T212"/>
  <sheetViews>
    <sheetView zoomScale="80" zoomScaleNormal="80" workbookViewId="0"/>
  </sheetViews>
  <sheetFormatPr defaultColWidth="0" defaultRowHeight="12.75" zeroHeight="1" x14ac:dyDescent="0.2"/>
  <cols>
    <col min="1" max="1" width="3.7109375" style="162" customWidth="1"/>
    <col min="2" max="2" width="9.140625" style="162" customWidth="1"/>
    <col min="3" max="7" width="13.140625" style="162" customWidth="1"/>
    <col min="8" max="8" width="29.85546875" style="162" customWidth="1"/>
    <col min="9" max="13" width="13.140625" style="162" customWidth="1"/>
    <col min="14" max="14" width="3.7109375" style="162" customWidth="1"/>
    <col min="15" max="15" width="3.7109375" style="162" hidden="1" customWidth="1"/>
    <col min="16" max="16384" width="9.140625" style="162" hidden="1"/>
  </cols>
  <sheetData>
    <row r="1" spans="1:20" s="26" customFormat="1" ht="18" x14ac:dyDescent="0.25">
      <c r="A1" s="26" t="str">
        <f>Menu!A1</f>
        <v>CitiPower - Connections</v>
      </c>
      <c r="M1" s="30" t="s">
        <v>39</v>
      </c>
    </row>
    <row r="2" spans="1:20" s="28" customFormat="1" ht="15.75" x14ac:dyDescent="0.25">
      <c r="A2" s="196" t="str">
        <f ca="1">RIGHT(CELL("filename", $A$1), LEN(CELL("filename", $A$1)) - SEARCH("]", CELL("filename", $A$1)))</f>
        <v>Forecast Contributions -AER</v>
      </c>
    </row>
    <row r="3" spans="1:20" x14ac:dyDescent="0.2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</row>
    <row r="4" spans="1:20" x14ac:dyDescent="0.2">
      <c r="A4" s="143"/>
      <c r="B4" s="34" t="s">
        <v>193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</row>
    <row r="5" spans="1:20" x14ac:dyDescent="0.2">
      <c r="A5" s="143"/>
      <c r="B5" s="141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</row>
    <row r="6" spans="1:20" x14ac:dyDescent="0.2">
      <c r="A6" s="143"/>
      <c r="B6" s="143"/>
      <c r="C6" s="288" t="s">
        <v>340</v>
      </c>
      <c r="D6" s="289"/>
      <c r="E6" s="289"/>
      <c r="F6" s="289"/>
      <c r="G6" s="289"/>
      <c r="H6" s="289"/>
      <c r="I6" s="289"/>
      <c r="J6" s="289"/>
      <c r="K6" s="289"/>
      <c r="L6" s="289"/>
      <c r="M6" s="290"/>
      <c r="N6" s="143"/>
      <c r="O6" s="143"/>
      <c r="P6" s="143"/>
      <c r="Q6" s="143"/>
      <c r="R6" s="143"/>
      <c r="S6" s="143"/>
      <c r="T6" s="143"/>
    </row>
    <row r="7" spans="1:20" ht="25.5" x14ac:dyDescent="0.2">
      <c r="A7" s="143"/>
      <c r="B7" s="3" t="s">
        <v>35</v>
      </c>
      <c r="C7" s="3" t="s">
        <v>325</v>
      </c>
      <c r="D7" s="3" t="s">
        <v>326</v>
      </c>
      <c r="E7" s="3" t="s">
        <v>327</v>
      </c>
      <c r="F7" s="163" t="s">
        <v>328</v>
      </c>
      <c r="G7" s="3" t="s">
        <v>312</v>
      </c>
      <c r="H7" s="3" t="s">
        <v>313</v>
      </c>
      <c r="I7" s="3" t="s">
        <v>314</v>
      </c>
      <c r="J7" s="3" t="s">
        <v>315</v>
      </c>
      <c r="K7" s="3" t="s">
        <v>316</v>
      </c>
      <c r="L7" s="3" t="s">
        <v>317</v>
      </c>
      <c r="M7" s="234" t="s">
        <v>318</v>
      </c>
      <c r="N7" s="143"/>
      <c r="O7" s="143"/>
      <c r="P7" s="143"/>
      <c r="Q7" s="143"/>
      <c r="R7" s="143"/>
      <c r="S7" s="143"/>
      <c r="T7" s="143"/>
    </row>
    <row r="8" spans="1:20" x14ac:dyDescent="0.2">
      <c r="A8" s="143"/>
      <c r="B8" s="216">
        <v>102</v>
      </c>
      <c r="C8" s="189">
        <v>0</v>
      </c>
      <c r="D8" s="189">
        <v>4674.3342776203963</v>
      </c>
      <c r="E8" s="189">
        <v>4604.762790697675</v>
      </c>
      <c r="F8" s="189">
        <v>0</v>
      </c>
      <c r="G8" s="199">
        <f>AVERAGE($D8:$F8)</f>
        <v>3093.0323561060236</v>
      </c>
      <c r="H8" s="227">
        <f>AVERAGE($D8:$F8)</f>
        <v>3093.0323561060236</v>
      </c>
      <c r="I8" s="227">
        <f>AVERAGE($D8:$F8)*$I$25</f>
        <v>1791.9983010404405</v>
      </c>
      <c r="J8" s="199">
        <f t="shared" ref="J8:M20" si="0">AVERAGE($D8:$F8)</f>
        <v>3093.0323561060236</v>
      </c>
      <c r="K8" s="199">
        <f t="shared" si="0"/>
        <v>3093.0323561060236</v>
      </c>
      <c r="L8" s="199">
        <f t="shared" si="0"/>
        <v>3093.0323561060236</v>
      </c>
      <c r="M8" s="199">
        <f t="shared" si="0"/>
        <v>3093.0323561060236</v>
      </c>
      <c r="N8" s="143"/>
      <c r="O8" s="143"/>
      <c r="P8" s="143"/>
      <c r="Q8" s="143"/>
      <c r="R8" s="143"/>
      <c r="S8" s="143"/>
      <c r="T8" s="143"/>
    </row>
    <row r="9" spans="1:20" x14ac:dyDescent="0.2">
      <c r="A9" s="143"/>
      <c r="B9" s="216">
        <v>104</v>
      </c>
      <c r="C9" s="189">
        <v>22137.336529381857</v>
      </c>
      <c r="D9" s="189">
        <v>0</v>
      </c>
      <c r="E9" s="189">
        <v>8552.8604651162786</v>
      </c>
      <c r="F9" s="189">
        <v>8466.2292817679554</v>
      </c>
      <c r="G9" s="199">
        <f t="shared" ref="G9:H21" si="1">AVERAGE($D9:$F9)</f>
        <v>5673.029915628078</v>
      </c>
      <c r="H9" s="227">
        <f t="shared" si="1"/>
        <v>5673.029915628078</v>
      </c>
      <c r="I9" s="227">
        <f t="shared" ref="I9:I20" si="2">AVERAGE($D9:$F9)*$I$25</f>
        <v>3286.7615983673968</v>
      </c>
      <c r="J9" s="199">
        <f t="shared" si="0"/>
        <v>5673.029915628078</v>
      </c>
      <c r="K9" s="199">
        <f t="shared" si="0"/>
        <v>5673.029915628078</v>
      </c>
      <c r="L9" s="199">
        <f t="shared" si="0"/>
        <v>5673.029915628078</v>
      </c>
      <c r="M9" s="199">
        <f t="shared" si="0"/>
        <v>5673.029915628078</v>
      </c>
      <c r="N9" s="143"/>
      <c r="O9" s="143"/>
      <c r="P9" s="143"/>
      <c r="Q9" s="143"/>
      <c r="R9" s="143"/>
      <c r="S9" s="143"/>
      <c r="T9" s="143"/>
    </row>
    <row r="10" spans="1:20" x14ac:dyDescent="0.2">
      <c r="A10" s="143"/>
      <c r="B10" s="216">
        <v>105</v>
      </c>
      <c r="C10" s="189">
        <v>341.82651993898452</v>
      </c>
      <c r="D10" s="189">
        <v>18994.146364494805</v>
      </c>
      <c r="E10" s="189">
        <v>46247.6</v>
      </c>
      <c r="F10" s="189">
        <v>27583.055248618784</v>
      </c>
      <c r="G10" s="199">
        <f>AVERAGE($D10:$F10)</f>
        <v>30941.600537704526</v>
      </c>
      <c r="H10" s="227">
        <f t="shared" si="1"/>
        <v>30941.600537704526</v>
      </c>
      <c r="I10" s="227">
        <f t="shared" si="2"/>
        <v>17926.516509139892</v>
      </c>
      <c r="J10" s="199">
        <f t="shared" si="0"/>
        <v>30941.600537704526</v>
      </c>
      <c r="K10" s="199">
        <f t="shared" si="0"/>
        <v>30941.600537704526</v>
      </c>
      <c r="L10" s="199">
        <f t="shared" si="0"/>
        <v>30941.600537704526</v>
      </c>
      <c r="M10" s="199">
        <f t="shared" si="0"/>
        <v>30941.600537704526</v>
      </c>
      <c r="N10" s="143"/>
      <c r="O10" s="143"/>
      <c r="P10" s="143"/>
      <c r="Q10" s="143"/>
      <c r="R10" s="143"/>
      <c r="S10" s="143"/>
      <c r="T10" s="143"/>
    </row>
    <row r="11" spans="1:20" x14ac:dyDescent="0.2">
      <c r="A11" s="143"/>
      <c r="B11" s="216">
        <v>106</v>
      </c>
      <c r="C11" s="189">
        <v>158034.9879276531</v>
      </c>
      <c r="D11" s="189">
        <v>261914.69027384321</v>
      </c>
      <c r="E11" s="189">
        <v>105845.2288372093</v>
      </c>
      <c r="F11" s="189">
        <v>44721.524203002009</v>
      </c>
      <c r="G11" s="199">
        <f t="shared" si="1"/>
        <v>137493.81443801816</v>
      </c>
      <c r="H11" s="227">
        <f t="shared" si="1"/>
        <v>137493.81443801816</v>
      </c>
      <c r="I11" s="227">
        <f t="shared" si="2"/>
        <v>79659.264278337345</v>
      </c>
      <c r="J11" s="199">
        <f t="shared" si="0"/>
        <v>137493.81443801816</v>
      </c>
      <c r="K11" s="199">
        <f t="shared" si="0"/>
        <v>137493.81443801816</v>
      </c>
      <c r="L11" s="199">
        <f t="shared" si="0"/>
        <v>137493.81443801816</v>
      </c>
      <c r="M11" s="199">
        <f t="shared" si="0"/>
        <v>137493.81443801816</v>
      </c>
      <c r="N11" s="143"/>
      <c r="O11" s="143"/>
      <c r="P11" s="143"/>
      <c r="Q11" s="143"/>
      <c r="R11" s="143"/>
      <c r="S11" s="143"/>
      <c r="T11" s="143"/>
    </row>
    <row r="12" spans="1:20" x14ac:dyDescent="0.2">
      <c r="A12" s="143"/>
      <c r="B12" s="216">
        <v>107</v>
      </c>
      <c r="C12" s="189">
        <v>0</v>
      </c>
      <c r="D12" s="189">
        <v>0</v>
      </c>
      <c r="E12" s="189">
        <v>0</v>
      </c>
      <c r="F12" s="189">
        <v>0</v>
      </c>
      <c r="G12" s="199">
        <f t="shared" si="1"/>
        <v>0</v>
      </c>
      <c r="H12" s="227">
        <f t="shared" si="1"/>
        <v>0</v>
      </c>
      <c r="I12" s="227">
        <f t="shared" si="2"/>
        <v>0</v>
      </c>
      <c r="J12" s="199">
        <f t="shared" si="0"/>
        <v>0</v>
      </c>
      <c r="K12" s="199">
        <f t="shared" si="0"/>
        <v>0</v>
      </c>
      <c r="L12" s="199">
        <f t="shared" si="0"/>
        <v>0</v>
      </c>
      <c r="M12" s="199">
        <f t="shared" si="0"/>
        <v>0</v>
      </c>
      <c r="N12" s="143"/>
      <c r="O12" s="143"/>
      <c r="P12" s="143"/>
      <c r="Q12" s="143"/>
      <c r="R12" s="143"/>
      <c r="S12" s="143"/>
      <c r="T12" s="143"/>
    </row>
    <row r="13" spans="1:20" x14ac:dyDescent="0.2">
      <c r="A13" s="143"/>
      <c r="B13" s="216">
        <v>108</v>
      </c>
      <c r="C13" s="189">
        <v>0</v>
      </c>
      <c r="D13" s="189">
        <v>0</v>
      </c>
      <c r="E13" s="189">
        <v>0</v>
      </c>
      <c r="F13" s="189">
        <v>0</v>
      </c>
      <c r="G13" s="199">
        <f t="shared" si="1"/>
        <v>0</v>
      </c>
      <c r="H13" s="227">
        <f t="shared" si="1"/>
        <v>0</v>
      </c>
      <c r="I13" s="227">
        <f t="shared" si="2"/>
        <v>0</v>
      </c>
      <c r="J13" s="199">
        <f t="shared" si="0"/>
        <v>0</v>
      </c>
      <c r="K13" s="199">
        <f t="shared" si="0"/>
        <v>0</v>
      </c>
      <c r="L13" s="199">
        <f t="shared" si="0"/>
        <v>0</v>
      </c>
      <c r="M13" s="199">
        <f t="shared" si="0"/>
        <v>0</v>
      </c>
      <c r="N13" s="143"/>
      <c r="O13" s="143"/>
      <c r="P13" s="143"/>
      <c r="Q13" s="143"/>
      <c r="R13" s="143"/>
      <c r="S13" s="143"/>
      <c r="T13" s="143"/>
    </row>
    <row r="14" spans="1:20" x14ac:dyDescent="0.2">
      <c r="A14" s="143"/>
      <c r="B14" s="216">
        <v>109</v>
      </c>
      <c r="C14" s="189">
        <v>0</v>
      </c>
      <c r="D14" s="189">
        <v>0</v>
      </c>
      <c r="E14" s="189">
        <v>0</v>
      </c>
      <c r="F14" s="189">
        <v>0</v>
      </c>
      <c r="G14" s="199">
        <f t="shared" si="1"/>
        <v>0</v>
      </c>
      <c r="H14" s="227">
        <f t="shared" si="1"/>
        <v>0</v>
      </c>
      <c r="I14" s="227">
        <f t="shared" si="2"/>
        <v>0</v>
      </c>
      <c r="J14" s="199">
        <f t="shared" si="0"/>
        <v>0</v>
      </c>
      <c r="K14" s="199">
        <f t="shared" si="0"/>
        <v>0</v>
      </c>
      <c r="L14" s="199">
        <f t="shared" si="0"/>
        <v>0</v>
      </c>
      <c r="M14" s="199">
        <f t="shared" si="0"/>
        <v>0</v>
      </c>
      <c r="N14" s="143"/>
      <c r="O14" s="143"/>
      <c r="P14" s="143"/>
      <c r="Q14" s="143"/>
      <c r="R14" s="143"/>
      <c r="S14" s="143"/>
      <c r="T14" s="143"/>
    </row>
    <row r="15" spans="1:20" x14ac:dyDescent="0.2">
      <c r="A15" s="143"/>
      <c r="B15" s="216">
        <v>110</v>
      </c>
      <c r="C15" s="189">
        <v>0</v>
      </c>
      <c r="D15" s="189">
        <v>0</v>
      </c>
      <c r="E15" s="189">
        <v>0</v>
      </c>
      <c r="F15" s="189">
        <v>0</v>
      </c>
      <c r="G15" s="199">
        <f t="shared" si="1"/>
        <v>0</v>
      </c>
      <c r="H15" s="227">
        <f t="shared" si="1"/>
        <v>0</v>
      </c>
      <c r="I15" s="227">
        <f t="shared" si="2"/>
        <v>0</v>
      </c>
      <c r="J15" s="199">
        <f t="shared" si="0"/>
        <v>0</v>
      </c>
      <c r="K15" s="199">
        <f t="shared" si="0"/>
        <v>0</v>
      </c>
      <c r="L15" s="199">
        <f t="shared" si="0"/>
        <v>0</v>
      </c>
      <c r="M15" s="199">
        <f t="shared" si="0"/>
        <v>0</v>
      </c>
      <c r="N15" s="143"/>
      <c r="O15" s="143"/>
      <c r="P15" s="143"/>
      <c r="Q15" s="143"/>
      <c r="R15" s="143"/>
      <c r="S15" s="143"/>
      <c r="T15" s="143"/>
    </row>
    <row r="16" spans="1:20" x14ac:dyDescent="0.2">
      <c r="A16" s="143"/>
      <c r="B16" s="216">
        <v>111</v>
      </c>
      <c r="C16" s="189">
        <v>275238.8261131692</v>
      </c>
      <c r="D16" s="189">
        <v>147185.56940509914</v>
      </c>
      <c r="E16" s="189">
        <v>138689.83441860465</v>
      </c>
      <c r="F16" s="189">
        <v>67641.560773480669</v>
      </c>
      <c r="G16" s="199">
        <f t="shared" si="1"/>
        <v>117838.98819906148</v>
      </c>
      <c r="H16" s="227">
        <f t="shared" si="1"/>
        <v>117838.98819906148</v>
      </c>
      <c r="I16" s="227">
        <f t="shared" si="2"/>
        <v>68271.922934195216</v>
      </c>
      <c r="J16" s="199">
        <f t="shared" si="0"/>
        <v>117838.98819906148</v>
      </c>
      <c r="K16" s="199">
        <f t="shared" si="0"/>
        <v>117838.98819906148</v>
      </c>
      <c r="L16" s="199">
        <f t="shared" si="0"/>
        <v>117838.98819906148</v>
      </c>
      <c r="M16" s="199">
        <f t="shared" si="0"/>
        <v>117838.98819906148</v>
      </c>
      <c r="N16" s="143"/>
      <c r="O16" s="143"/>
      <c r="P16" s="143"/>
      <c r="Q16" s="143"/>
      <c r="R16" s="143"/>
      <c r="S16" s="143"/>
      <c r="T16" s="143"/>
    </row>
    <row r="17" spans="1:20" x14ac:dyDescent="0.2">
      <c r="A17" s="143"/>
      <c r="B17" s="216">
        <v>114</v>
      </c>
      <c r="C17" s="189">
        <v>0</v>
      </c>
      <c r="D17" s="189">
        <v>0</v>
      </c>
      <c r="E17" s="189">
        <v>0</v>
      </c>
      <c r="F17" s="189">
        <v>0</v>
      </c>
      <c r="G17" s="199">
        <f t="shared" si="1"/>
        <v>0</v>
      </c>
      <c r="H17" s="227">
        <f t="shared" si="1"/>
        <v>0</v>
      </c>
      <c r="I17" s="227">
        <f t="shared" si="2"/>
        <v>0</v>
      </c>
      <c r="J17" s="199">
        <f t="shared" si="0"/>
        <v>0</v>
      </c>
      <c r="K17" s="199">
        <f t="shared" si="0"/>
        <v>0</v>
      </c>
      <c r="L17" s="199">
        <f t="shared" si="0"/>
        <v>0</v>
      </c>
      <c r="M17" s="199">
        <f t="shared" si="0"/>
        <v>0</v>
      </c>
      <c r="N17" s="143"/>
      <c r="O17" s="143"/>
      <c r="P17" s="143"/>
      <c r="Q17" s="143"/>
      <c r="R17" s="143"/>
      <c r="S17" s="143"/>
      <c r="T17" s="143"/>
    </row>
    <row r="18" spans="1:20" x14ac:dyDescent="0.2">
      <c r="A18" s="143"/>
      <c r="B18" s="216">
        <v>115</v>
      </c>
      <c r="C18" s="189">
        <v>0</v>
      </c>
      <c r="D18" s="189">
        <v>0</v>
      </c>
      <c r="E18" s="189">
        <v>0</v>
      </c>
      <c r="F18" s="189">
        <v>0</v>
      </c>
      <c r="G18" s="199">
        <f t="shared" si="1"/>
        <v>0</v>
      </c>
      <c r="H18" s="227">
        <f t="shared" si="1"/>
        <v>0</v>
      </c>
      <c r="I18" s="227">
        <f t="shared" si="2"/>
        <v>0</v>
      </c>
      <c r="J18" s="199">
        <f t="shared" si="0"/>
        <v>0</v>
      </c>
      <c r="K18" s="199">
        <f t="shared" si="0"/>
        <v>0</v>
      </c>
      <c r="L18" s="199">
        <f t="shared" si="0"/>
        <v>0</v>
      </c>
      <c r="M18" s="199">
        <f t="shared" si="0"/>
        <v>0</v>
      </c>
      <c r="N18" s="143"/>
      <c r="O18" s="143"/>
      <c r="P18" s="143"/>
      <c r="Q18" s="143"/>
      <c r="R18" s="143"/>
      <c r="S18" s="143"/>
      <c r="T18" s="143"/>
    </row>
    <row r="19" spans="1:20" x14ac:dyDescent="0.2">
      <c r="A19" s="143"/>
      <c r="B19" s="216">
        <v>116</v>
      </c>
      <c r="C19" s="189">
        <v>3556991.7599186469</v>
      </c>
      <c r="D19" s="189">
        <v>3106763.3597733714</v>
      </c>
      <c r="E19" s="189">
        <v>11242.214883720933</v>
      </c>
      <c r="F19" s="189">
        <v>4344.6602209944749</v>
      </c>
      <c r="G19" s="199">
        <f t="shared" si="1"/>
        <v>1040783.4116260289</v>
      </c>
      <c r="H19" s="227">
        <f t="shared" si="1"/>
        <v>1040783.4116260289</v>
      </c>
      <c r="I19" s="227">
        <f t="shared" si="2"/>
        <v>602994.69603123213</v>
      </c>
      <c r="J19" s="199">
        <f t="shared" si="0"/>
        <v>1040783.4116260289</v>
      </c>
      <c r="K19" s="199">
        <f t="shared" si="0"/>
        <v>1040783.4116260289</v>
      </c>
      <c r="L19" s="199">
        <f t="shared" si="0"/>
        <v>1040783.4116260289</v>
      </c>
      <c r="M19" s="199">
        <f t="shared" si="0"/>
        <v>1040783.4116260289</v>
      </c>
      <c r="N19" s="143"/>
      <c r="O19" s="143"/>
      <c r="P19" s="143"/>
      <c r="Q19" s="143"/>
      <c r="R19" s="143"/>
      <c r="S19" s="143"/>
      <c r="T19" s="143"/>
    </row>
    <row r="20" spans="1:20" x14ac:dyDescent="0.2">
      <c r="A20" s="143"/>
      <c r="B20" s="216">
        <v>118</v>
      </c>
      <c r="C20" s="189">
        <v>0</v>
      </c>
      <c r="D20" s="189">
        <v>0</v>
      </c>
      <c r="E20" s="189">
        <v>0</v>
      </c>
      <c r="F20" s="189">
        <v>0</v>
      </c>
      <c r="G20" s="199">
        <f t="shared" si="1"/>
        <v>0</v>
      </c>
      <c r="H20" s="227">
        <f t="shared" si="1"/>
        <v>0</v>
      </c>
      <c r="I20" s="227">
        <f t="shared" si="2"/>
        <v>0</v>
      </c>
      <c r="J20" s="199">
        <f t="shared" si="0"/>
        <v>0</v>
      </c>
      <c r="K20" s="199">
        <f t="shared" si="0"/>
        <v>0</v>
      </c>
      <c r="L20" s="199">
        <f t="shared" si="0"/>
        <v>0</v>
      </c>
      <c r="M20" s="199">
        <f t="shared" si="0"/>
        <v>0</v>
      </c>
      <c r="N20" s="143"/>
      <c r="O20" s="143"/>
      <c r="P20" s="143"/>
      <c r="Q20" s="143"/>
      <c r="R20" s="143"/>
      <c r="S20" s="143"/>
      <c r="T20" s="143"/>
    </row>
    <row r="21" spans="1:20" x14ac:dyDescent="0.2">
      <c r="A21" s="143"/>
      <c r="B21" s="134" t="s">
        <v>36</v>
      </c>
      <c r="C21" s="184">
        <f t="shared" ref="C21:M21" si="3">SUM(C8:C20)</f>
        <v>4012744.73700879</v>
      </c>
      <c r="D21" s="184">
        <f t="shared" si="3"/>
        <v>3539532.1000944288</v>
      </c>
      <c r="E21" s="184">
        <f t="shared" si="3"/>
        <v>315182.50139534881</v>
      </c>
      <c r="F21" s="184">
        <f t="shared" si="3"/>
        <v>152757.02972786388</v>
      </c>
      <c r="G21" s="184">
        <f t="shared" si="3"/>
        <v>1335823.8770725471</v>
      </c>
      <c r="H21" s="227">
        <f t="shared" si="1"/>
        <v>1335823.8770725473</v>
      </c>
      <c r="I21" s="184">
        <f t="shared" si="3"/>
        <v>773931.1596523124</v>
      </c>
      <c r="J21" s="184">
        <f t="shared" si="3"/>
        <v>1335823.8770725471</v>
      </c>
      <c r="K21" s="184">
        <f t="shared" si="3"/>
        <v>1335823.8770725471</v>
      </c>
      <c r="L21" s="184">
        <f t="shared" si="3"/>
        <v>1335823.8770725471</v>
      </c>
      <c r="M21" s="184">
        <f t="shared" si="3"/>
        <v>1335823.8770725471</v>
      </c>
      <c r="N21" s="143"/>
      <c r="O21" s="143"/>
      <c r="P21" s="143"/>
      <c r="Q21" s="143"/>
      <c r="R21" s="143"/>
      <c r="S21" s="143"/>
      <c r="T21" s="143"/>
    </row>
    <row r="22" spans="1:20" x14ac:dyDescent="0.2">
      <c r="A22" s="143"/>
      <c r="B22" s="143" t="s">
        <v>231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43"/>
      <c r="O22" s="143"/>
      <c r="P22" s="143"/>
      <c r="Q22" s="143"/>
      <c r="R22" s="143"/>
      <c r="S22" s="143"/>
      <c r="T22" s="143"/>
    </row>
    <row r="23" spans="1:20" x14ac:dyDescent="0.2">
      <c r="A23" s="143"/>
      <c r="B23" s="143"/>
      <c r="C23" s="143"/>
      <c r="D23" s="143"/>
      <c r="E23" s="143"/>
      <c r="F23" s="143"/>
      <c r="G23" s="143"/>
      <c r="H23" s="143"/>
      <c r="I23" s="181"/>
      <c r="J23" s="181"/>
      <c r="K23" s="181"/>
      <c r="L23" s="181"/>
      <c r="M23" s="181"/>
      <c r="N23" s="143"/>
      <c r="O23" s="143"/>
      <c r="P23" s="143"/>
      <c r="Q23" s="143"/>
      <c r="R23" s="143"/>
      <c r="S23" s="143"/>
      <c r="T23" s="143"/>
    </row>
    <row r="24" spans="1:20" x14ac:dyDescent="0.2">
      <c r="A24" s="143"/>
      <c r="B24" s="143"/>
      <c r="C24" s="143"/>
      <c r="D24" s="143"/>
      <c r="E24" s="143"/>
      <c r="F24" s="143"/>
      <c r="G24" s="143"/>
      <c r="H24" s="228" t="s">
        <v>350</v>
      </c>
      <c r="I24" s="228" t="s">
        <v>268</v>
      </c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</row>
    <row r="25" spans="1:20" x14ac:dyDescent="0.2">
      <c r="A25" s="143"/>
      <c r="B25" s="34" t="s">
        <v>194</v>
      </c>
      <c r="C25" s="143"/>
      <c r="D25" s="143"/>
      <c r="E25" s="143"/>
      <c r="F25" s="143"/>
      <c r="G25" s="143"/>
      <c r="H25" s="228" t="s">
        <v>349</v>
      </c>
      <c r="I25" s="235">
        <v>0.57936616715399603</v>
      </c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</row>
    <row r="26" spans="1:20" x14ac:dyDescent="0.2">
      <c r="A26" s="143"/>
      <c r="B26" s="141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</row>
    <row r="27" spans="1:20" x14ac:dyDescent="0.2">
      <c r="A27" s="143"/>
      <c r="B27" s="143"/>
      <c r="C27" s="288" t="s">
        <v>340</v>
      </c>
      <c r="D27" s="289"/>
      <c r="E27" s="289"/>
      <c r="F27" s="289"/>
      <c r="G27" s="289"/>
      <c r="H27" s="289"/>
      <c r="I27" s="289"/>
      <c r="J27" s="289"/>
      <c r="K27" s="289"/>
      <c r="L27" s="289"/>
      <c r="M27" s="290"/>
      <c r="N27" s="143"/>
      <c r="O27" s="143"/>
      <c r="P27" s="143"/>
      <c r="Q27" s="143"/>
      <c r="R27" s="143"/>
      <c r="S27" s="143"/>
      <c r="T27" s="143"/>
    </row>
    <row r="28" spans="1:20" ht="25.5" x14ac:dyDescent="0.2">
      <c r="A28" s="143"/>
      <c r="B28" s="3" t="s">
        <v>35</v>
      </c>
      <c r="C28" s="3" t="s">
        <v>325</v>
      </c>
      <c r="D28" s="3" t="s">
        <v>326</v>
      </c>
      <c r="E28" s="3" t="s">
        <v>327</v>
      </c>
      <c r="F28" s="163" t="s">
        <v>328</v>
      </c>
      <c r="G28" s="3" t="s">
        <v>312</v>
      </c>
      <c r="H28" s="3" t="s">
        <v>313</v>
      </c>
      <c r="I28" s="3" t="s">
        <v>314</v>
      </c>
      <c r="J28" s="3" t="s">
        <v>315</v>
      </c>
      <c r="K28" s="3" t="s">
        <v>316</v>
      </c>
      <c r="L28" s="3" t="s">
        <v>317</v>
      </c>
      <c r="M28" s="234" t="s">
        <v>318</v>
      </c>
      <c r="N28" s="143"/>
      <c r="O28" s="143"/>
      <c r="P28" s="143"/>
      <c r="Q28" s="143"/>
      <c r="R28" s="143"/>
      <c r="S28" s="143"/>
      <c r="T28" s="143"/>
    </row>
    <row r="29" spans="1:20" x14ac:dyDescent="0.2">
      <c r="A29" s="143"/>
      <c r="B29" s="216">
        <v>102</v>
      </c>
      <c r="C29" s="189">
        <v>0</v>
      </c>
      <c r="D29" s="189">
        <v>0</v>
      </c>
      <c r="E29" s="189">
        <v>0</v>
      </c>
      <c r="F29" s="189">
        <v>0</v>
      </c>
      <c r="G29" s="199">
        <f>AVERAGE($F29)</f>
        <v>0</v>
      </c>
      <c r="H29" s="199">
        <f t="shared" ref="H29:M41" si="4">AVERAGE($F29)</f>
        <v>0</v>
      </c>
      <c r="I29" s="199">
        <f t="shared" si="4"/>
        <v>0</v>
      </c>
      <c r="J29" s="199">
        <f t="shared" si="4"/>
        <v>0</v>
      </c>
      <c r="K29" s="199">
        <f t="shared" si="4"/>
        <v>0</v>
      </c>
      <c r="L29" s="199">
        <f t="shared" si="4"/>
        <v>0</v>
      </c>
      <c r="M29" s="199">
        <f t="shared" si="4"/>
        <v>0</v>
      </c>
      <c r="N29" s="143"/>
      <c r="O29" s="143"/>
      <c r="P29" s="143"/>
      <c r="Q29" s="143"/>
      <c r="R29" s="143"/>
      <c r="S29" s="143"/>
      <c r="T29" s="143"/>
    </row>
    <row r="30" spans="1:20" x14ac:dyDescent="0.2">
      <c r="A30" s="143"/>
      <c r="B30" s="216">
        <v>104</v>
      </c>
      <c r="C30" s="189">
        <v>0</v>
      </c>
      <c r="D30" s="189">
        <v>0</v>
      </c>
      <c r="E30" s="189">
        <v>0</v>
      </c>
      <c r="F30" s="189">
        <v>0</v>
      </c>
      <c r="G30" s="199">
        <f t="shared" ref="G30:G41" si="5">AVERAGE($F30)</f>
        <v>0</v>
      </c>
      <c r="H30" s="199">
        <f t="shared" si="4"/>
        <v>0</v>
      </c>
      <c r="I30" s="199">
        <f t="shared" si="4"/>
        <v>0</v>
      </c>
      <c r="J30" s="199">
        <f t="shared" si="4"/>
        <v>0</v>
      </c>
      <c r="K30" s="199">
        <f t="shared" si="4"/>
        <v>0</v>
      </c>
      <c r="L30" s="199">
        <f t="shared" si="4"/>
        <v>0</v>
      </c>
      <c r="M30" s="199">
        <f t="shared" si="4"/>
        <v>0</v>
      </c>
      <c r="N30" s="143"/>
      <c r="O30" s="143"/>
      <c r="P30" s="143"/>
      <c r="Q30" s="143"/>
      <c r="R30" s="143"/>
      <c r="S30" s="143"/>
      <c r="T30" s="143"/>
    </row>
    <row r="31" spans="1:20" x14ac:dyDescent="0.2">
      <c r="A31" s="143"/>
      <c r="B31" s="216">
        <v>105</v>
      </c>
      <c r="C31" s="189">
        <v>0</v>
      </c>
      <c r="D31" s="189">
        <v>0</v>
      </c>
      <c r="E31" s="189">
        <v>0</v>
      </c>
      <c r="F31" s="189">
        <v>0</v>
      </c>
      <c r="G31" s="199">
        <f t="shared" si="5"/>
        <v>0</v>
      </c>
      <c r="H31" s="199">
        <f t="shared" si="4"/>
        <v>0</v>
      </c>
      <c r="I31" s="199">
        <f t="shared" si="4"/>
        <v>0</v>
      </c>
      <c r="J31" s="199">
        <f t="shared" si="4"/>
        <v>0</v>
      </c>
      <c r="K31" s="199">
        <f t="shared" si="4"/>
        <v>0</v>
      </c>
      <c r="L31" s="199">
        <f t="shared" si="4"/>
        <v>0</v>
      </c>
      <c r="M31" s="199">
        <f t="shared" si="4"/>
        <v>0</v>
      </c>
      <c r="N31" s="143"/>
      <c r="O31" s="143"/>
      <c r="P31" s="143"/>
      <c r="Q31" s="143"/>
      <c r="R31" s="143"/>
      <c r="S31" s="143"/>
      <c r="T31" s="143"/>
    </row>
    <row r="32" spans="1:20" x14ac:dyDescent="0.2">
      <c r="A32" s="143"/>
      <c r="B32" s="216">
        <v>106</v>
      </c>
      <c r="C32" s="189">
        <v>0</v>
      </c>
      <c r="D32" s="189">
        <v>93739.055712936723</v>
      </c>
      <c r="E32" s="189">
        <v>92343.869767441865</v>
      </c>
      <c r="F32" s="189">
        <v>0</v>
      </c>
      <c r="G32" s="199">
        <f t="shared" si="5"/>
        <v>0</v>
      </c>
      <c r="H32" s="199">
        <f t="shared" si="4"/>
        <v>0</v>
      </c>
      <c r="I32" s="199">
        <f t="shared" si="4"/>
        <v>0</v>
      </c>
      <c r="J32" s="199">
        <f t="shared" si="4"/>
        <v>0</v>
      </c>
      <c r="K32" s="199">
        <f t="shared" si="4"/>
        <v>0</v>
      </c>
      <c r="L32" s="199">
        <f t="shared" si="4"/>
        <v>0</v>
      </c>
      <c r="M32" s="199">
        <f t="shared" si="4"/>
        <v>0</v>
      </c>
      <c r="N32" s="143"/>
      <c r="O32" s="143"/>
      <c r="P32" s="143"/>
      <c r="Q32" s="143"/>
      <c r="R32" s="143"/>
      <c r="S32" s="143"/>
      <c r="T32" s="143"/>
    </row>
    <row r="33" spans="1:20" x14ac:dyDescent="0.2">
      <c r="A33" s="143"/>
      <c r="B33" s="216">
        <v>107</v>
      </c>
      <c r="C33" s="189">
        <v>0</v>
      </c>
      <c r="D33" s="189">
        <v>0</v>
      </c>
      <c r="E33" s="189">
        <v>0</v>
      </c>
      <c r="F33" s="189">
        <v>0</v>
      </c>
      <c r="G33" s="199">
        <f t="shared" si="5"/>
        <v>0</v>
      </c>
      <c r="H33" s="199">
        <f t="shared" si="4"/>
        <v>0</v>
      </c>
      <c r="I33" s="199">
        <f t="shared" si="4"/>
        <v>0</v>
      </c>
      <c r="J33" s="199">
        <f t="shared" si="4"/>
        <v>0</v>
      </c>
      <c r="K33" s="199">
        <f t="shared" si="4"/>
        <v>0</v>
      </c>
      <c r="L33" s="199">
        <f t="shared" si="4"/>
        <v>0</v>
      </c>
      <c r="M33" s="199">
        <f t="shared" si="4"/>
        <v>0</v>
      </c>
      <c r="N33" s="143"/>
      <c r="O33" s="143"/>
      <c r="P33" s="143"/>
      <c r="Q33" s="143"/>
      <c r="R33" s="143"/>
      <c r="S33" s="143"/>
      <c r="T33" s="143"/>
    </row>
    <row r="34" spans="1:20" x14ac:dyDescent="0.2">
      <c r="A34" s="143"/>
      <c r="B34" s="216">
        <v>108</v>
      </c>
      <c r="C34" s="189">
        <v>0</v>
      </c>
      <c r="D34" s="189">
        <v>0</v>
      </c>
      <c r="E34" s="189">
        <v>0</v>
      </c>
      <c r="F34" s="189">
        <v>0</v>
      </c>
      <c r="G34" s="199">
        <f t="shared" si="5"/>
        <v>0</v>
      </c>
      <c r="H34" s="199">
        <f t="shared" si="4"/>
        <v>0</v>
      </c>
      <c r="I34" s="199">
        <f t="shared" si="4"/>
        <v>0</v>
      </c>
      <c r="J34" s="199">
        <f t="shared" si="4"/>
        <v>0</v>
      </c>
      <c r="K34" s="199">
        <f t="shared" si="4"/>
        <v>0</v>
      </c>
      <c r="L34" s="199">
        <f t="shared" si="4"/>
        <v>0</v>
      </c>
      <c r="M34" s="199">
        <f t="shared" si="4"/>
        <v>0</v>
      </c>
      <c r="N34" s="143"/>
      <c r="O34" s="143"/>
      <c r="P34" s="143"/>
      <c r="Q34" s="143"/>
      <c r="R34" s="143"/>
      <c r="S34" s="143"/>
      <c r="T34" s="143"/>
    </row>
    <row r="35" spans="1:20" x14ac:dyDescent="0.2">
      <c r="A35" s="143"/>
      <c r="B35" s="216">
        <v>109</v>
      </c>
      <c r="C35" s="189">
        <v>0</v>
      </c>
      <c r="D35" s="189">
        <v>0</v>
      </c>
      <c r="E35" s="189">
        <v>0</v>
      </c>
      <c r="F35" s="189">
        <v>0</v>
      </c>
      <c r="G35" s="199">
        <f t="shared" si="5"/>
        <v>0</v>
      </c>
      <c r="H35" s="199">
        <f t="shared" si="4"/>
        <v>0</v>
      </c>
      <c r="I35" s="199">
        <f t="shared" si="4"/>
        <v>0</v>
      </c>
      <c r="J35" s="199">
        <f t="shared" si="4"/>
        <v>0</v>
      </c>
      <c r="K35" s="199">
        <f t="shared" si="4"/>
        <v>0</v>
      </c>
      <c r="L35" s="199">
        <f t="shared" si="4"/>
        <v>0</v>
      </c>
      <c r="M35" s="199">
        <f t="shared" si="4"/>
        <v>0</v>
      </c>
      <c r="N35" s="143"/>
      <c r="O35" s="143"/>
      <c r="P35" s="143"/>
      <c r="Q35" s="143"/>
      <c r="R35" s="143"/>
      <c r="S35" s="143"/>
      <c r="T35" s="143"/>
    </row>
    <row r="36" spans="1:20" x14ac:dyDescent="0.2">
      <c r="A36" s="143"/>
      <c r="B36" s="216">
        <v>110</v>
      </c>
      <c r="C36" s="189">
        <v>0</v>
      </c>
      <c r="D36" s="189">
        <v>0</v>
      </c>
      <c r="E36" s="189">
        <v>0</v>
      </c>
      <c r="F36" s="189">
        <v>0</v>
      </c>
      <c r="G36" s="199">
        <f t="shared" si="5"/>
        <v>0</v>
      </c>
      <c r="H36" s="199">
        <f t="shared" si="4"/>
        <v>0</v>
      </c>
      <c r="I36" s="199">
        <f t="shared" si="4"/>
        <v>0</v>
      </c>
      <c r="J36" s="199">
        <f t="shared" si="4"/>
        <v>0</v>
      </c>
      <c r="K36" s="199">
        <f t="shared" si="4"/>
        <v>0</v>
      </c>
      <c r="L36" s="199">
        <f t="shared" si="4"/>
        <v>0</v>
      </c>
      <c r="M36" s="199">
        <f t="shared" si="4"/>
        <v>0</v>
      </c>
      <c r="N36" s="143"/>
      <c r="O36" s="143"/>
      <c r="P36" s="143"/>
      <c r="Q36" s="143"/>
      <c r="R36" s="143"/>
      <c r="S36" s="143"/>
      <c r="T36" s="143"/>
    </row>
    <row r="37" spans="1:20" x14ac:dyDescent="0.2">
      <c r="A37" s="143"/>
      <c r="B37" s="216">
        <v>111</v>
      </c>
      <c r="C37" s="189">
        <v>0</v>
      </c>
      <c r="D37" s="189">
        <v>0</v>
      </c>
      <c r="E37" s="189">
        <v>0</v>
      </c>
      <c r="F37" s="189">
        <v>0</v>
      </c>
      <c r="G37" s="199">
        <f t="shared" si="5"/>
        <v>0</v>
      </c>
      <c r="H37" s="199">
        <f t="shared" si="4"/>
        <v>0</v>
      </c>
      <c r="I37" s="199">
        <f t="shared" si="4"/>
        <v>0</v>
      </c>
      <c r="J37" s="199">
        <f t="shared" si="4"/>
        <v>0</v>
      </c>
      <c r="K37" s="199">
        <f t="shared" si="4"/>
        <v>0</v>
      </c>
      <c r="L37" s="199">
        <f t="shared" si="4"/>
        <v>0</v>
      </c>
      <c r="M37" s="199">
        <f t="shared" si="4"/>
        <v>0</v>
      </c>
      <c r="N37" s="143"/>
      <c r="O37" s="143"/>
      <c r="P37" s="143"/>
      <c r="Q37" s="143"/>
      <c r="R37" s="143"/>
      <c r="S37" s="143"/>
      <c r="T37" s="143"/>
    </row>
    <row r="38" spans="1:20" x14ac:dyDescent="0.2">
      <c r="A38" s="143"/>
      <c r="B38" s="216">
        <v>114</v>
      </c>
      <c r="C38" s="189">
        <v>0</v>
      </c>
      <c r="D38" s="189">
        <v>0</v>
      </c>
      <c r="E38" s="189">
        <v>0</v>
      </c>
      <c r="F38" s="189">
        <v>0</v>
      </c>
      <c r="G38" s="199">
        <f t="shared" si="5"/>
        <v>0</v>
      </c>
      <c r="H38" s="199">
        <f t="shared" si="4"/>
        <v>0</v>
      </c>
      <c r="I38" s="199">
        <f t="shared" si="4"/>
        <v>0</v>
      </c>
      <c r="J38" s="199">
        <f t="shared" si="4"/>
        <v>0</v>
      </c>
      <c r="K38" s="199">
        <f t="shared" si="4"/>
        <v>0</v>
      </c>
      <c r="L38" s="199">
        <f t="shared" si="4"/>
        <v>0</v>
      </c>
      <c r="M38" s="199">
        <f t="shared" si="4"/>
        <v>0</v>
      </c>
      <c r="N38" s="143"/>
      <c r="O38" s="143"/>
      <c r="P38" s="143"/>
      <c r="Q38" s="143"/>
      <c r="R38" s="143"/>
      <c r="S38" s="143"/>
      <c r="T38" s="143"/>
    </row>
    <row r="39" spans="1:20" x14ac:dyDescent="0.2">
      <c r="A39" s="143"/>
      <c r="B39" s="216">
        <v>115</v>
      </c>
      <c r="C39" s="189">
        <v>0</v>
      </c>
      <c r="D39" s="189">
        <v>0</v>
      </c>
      <c r="E39" s="189">
        <v>0</v>
      </c>
      <c r="F39" s="189">
        <v>0</v>
      </c>
      <c r="G39" s="199">
        <f t="shared" si="5"/>
        <v>0</v>
      </c>
      <c r="H39" s="199">
        <f t="shared" si="4"/>
        <v>0</v>
      </c>
      <c r="I39" s="199">
        <f t="shared" si="4"/>
        <v>0</v>
      </c>
      <c r="J39" s="199">
        <f t="shared" si="4"/>
        <v>0</v>
      </c>
      <c r="K39" s="199">
        <f t="shared" si="4"/>
        <v>0</v>
      </c>
      <c r="L39" s="199">
        <f t="shared" si="4"/>
        <v>0</v>
      </c>
      <c r="M39" s="199">
        <f t="shared" si="4"/>
        <v>0</v>
      </c>
      <c r="N39" s="143"/>
      <c r="O39" s="143"/>
      <c r="P39" s="143"/>
      <c r="Q39" s="143"/>
      <c r="R39" s="143"/>
      <c r="S39" s="143"/>
      <c r="T39" s="143"/>
    </row>
    <row r="40" spans="1:20" x14ac:dyDescent="0.2">
      <c r="A40" s="143"/>
      <c r="B40" s="216">
        <v>116</v>
      </c>
      <c r="C40" s="189">
        <v>29284.26112442798</v>
      </c>
      <c r="D40" s="189">
        <v>0</v>
      </c>
      <c r="E40" s="189">
        <v>0</v>
      </c>
      <c r="F40" s="189">
        <v>0</v>
      </c>
      <c r="G40" s="199">
        <f t="shared" si="5"/>
        <v>0</v>
      </c>
      <c r="H40" s="199">
        <f t="shared" si="4"/>
        <v>0</v>
      </c>
      <c r="I40" s="199">
        <f t="shared" si="4"/>
        <v>0</v>
      </c>
      <c r="J40" s="199">
        <f t="shared" si="4"/>
        <v>0</v>
      </c>
      <c r="K40" s="199">
        <f t="shared" si="4"/>
        <v>0</v>
      </c>
      <c r="L40" s="199">
        <f t="shared" si="4"/>
        <v>0</v>
      </c>
      <c r="M40" s="199">
        <f t="shared" si="4"/>
        <v>0</v>
      </c>
      <c r="N40" s="143"/>
      <c r="O40" s="143"/>
      <c r="P40" s="143"/>
      <c r="Q40" s="143"/>
      <c r="R40" s="143"/>
      <c r="S40" s="143"/>
      <c r="T40" s="143"/>
    </row>
    <row r="41" spans="1:20" x14ac:dyDescent="0.2">
      <c r="A41" s="143"/>
      <c r="B41" s="216">
        <v>118</v>
      </c>
      <c r="C41" s="189">
        <v>0</v>
      </c>
      <c r="D41" s="189">
        <v>0</v>
      </c>
      <c r="E41" s="189">
        <v>0</v>
      </c>
      <c r="F41" s="189">
        <v>0</v>
      </c>
      <c r="G41" s="199">
        <f t="shared" si="5"/>
        <v>0</v>
      </c>
      <c r="H41" s="199">
        <f t="shared" si="4"/>
        <v>0</v>
      </c>
      <c r="I41" s="199">
        <f t="shared" si="4"/>
        <v>0</v>
      </c>
      <c r="J41" s="199">
        <f t="shared" si="4"/>
        <v>0</v>
      </c>
      <c r="K41" s="199">
        <f t="shared" si="4"/>
        <v>0</v>
      </c>
      <c r="L41" s="199">
        <f t="shared" si="4"/>
        <v>0</v>
      </c>
      <c r="M41" s="199">
        <f t="shared" si="4"/>
        <v>0</v>
      </c>
      <c r="N41" s="143"/>
      <c r="O41" s="143"/>
      <c r="P41" s="143"/>
      <c r="Q41" s="143"/>
      <c r="R41" s="143"/>
      <c r="S41" s="143"/>
      <c r="T41" s="143"/>
    </row>
    <row r="42" spans="1:20" x14ac:dyDescent="0.2">
      <c r="A42" s="143"/>
      <c r="B42" s="134" t="s">
        <v>36</v>
      </c>
      <c r="C42" s="184">
        <f t="shared" ref="C42:M42" si="6">SUM(C29:C41)</f>
        <v>29284.26112442798</v>
      </c>
      <c r="D42" s="184">
        <f t="shared" si="6"/>
        <v>93739.055712936723</v>
      </c>
      <c r="E42" s="184">
        <f t="shared" si="6"/>
        <v>92343.869767441865</v>
      </c>
      <c r="F42" s="184">
        <f t="shared" si="6"/>
        <v>0</v>
      </c>
      <c r="G42" s="184">
        <f t="shared" si="6"/>
        <v>0</v>
      </c>
      <c r="H42" s="184">
        <f t="shared" si="6"/>
        <v>0</v>
      </c>
      <c r="I42" s="184">
        <f t="shared" si="6"/>
        <v>0</v>
      </c>
      <c r="J42" s="184">
        <f t="shared" si="6"/>
        <v>0</v>
      </c>
      <c r="K42" s="184">
        <f t="shared" si="6"/>
        <v>0</v>
      </c>
      <c r="L42" s="184">
        <f t="shared" si="6"/>
        <v>0</v>
      </c>
      <c r="M42" s="184">
        <f t="shared" si="6"/>
        <v>0</v>
      </c>
      <c r="N42" s="143"/>
      <c r="O42" s="143"/>
      <c r="P42" s="143"/>
      <c r="Q42" s="143"/>
      <c r="R42" s="143"/>
      <c r="S42" s="143"/>
      <c r="T42" s="143"/>
    </row>
    <row r="43" spans="1:20" x14ac:dyDescent="0.2">
      <c r="A43" s="143"/>
      <c r="B43" s="143" t="s">
        <v>231</v>
      </c>
      <c r="C43" s="198"/>
      <c r="D43" s="198"/>
      <c r="E43" s="198"/>
      <c r="F43" s="198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</row>
    <row r="44" spans="1:20" x14ac:dyDescent="0.2">
      <c r="A44" s="143"/>
      <c r="B44" s="136" t="s">
        <v>281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</row>
    <row r="45" spans="1:20" x14ac:dyDescent="0.2">
      <c r="A45" s="143"/>
      <c r="B45" s="309" t="s">
        <v>309</v>
      </c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1"/>
      <c r="N45" s="143"/>
      <c r="O45" s="143"/>
      <c r="P45" s="143"/>
      <c r="Q45" s="143"/>
      <c r="R45" s="143"/>
      <c r="S45" s="143"/>
      <c r="T45" s="143"/>
    </row>
    <row r="46" spans="1:20" x14ac:dyDescent="0.2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</row>
    <row r="47" spans="1:20" x14ac:dyDescent="0.2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</row>
    <row r="48" spans="1:20" x14ac:dyDescent="0.2">
      <c r="A48" s="143"/>
      <c r="B48" s="34" t="s">
        <v>219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</row>
    <row r="49" spans="1:20" x14ac:dyDescent="0.2">
      <c r="A49" s="143"/>
      <c r="B49" s="141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</row>
    <row r="50" spans="1:20" x14ac:dyDescent="0.2">
      <c r="A50" s="143"/>
      <c r="B50" s="143"/>
      <c r="C50" s="291" t="s">
        <v>195</v>
      </c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143"/>
      <c r="O50" s="143"/>
      <c r="P50" s="143"/>
      <c r="Q50" s="143"/>
      <c r="R50" s="143"/>
      <c r="S50" s="143"/>
      <c r="T50" s="143"/>
    </row>
    <row r="51" spans="1:20" ht="25.5" x14ac:dyDescent="0.2">
      <c r="A51" s="143"/>
      <c r="B51" s="3" t="s">
        <v>35</v>
      </c>
      <c r="C51" s="3" t="s">
        <v>325</v>
      </c>
      <c r="D51" s="3" t="s">
        <v>326</v>
      </c>
      <c r="E51" s="3" t="s">
        <v>327</v>
      </c>
      <c r="F51" s="163" t="s">
        <v>328</v>
      </c>
      <c r="G51" s="3" t="s">
        <v>312</v>
      </c>
      <c r="H51" s="3" t="s">
        <v>313</v>
      </c>
      <c r="I51" s="3" t="s">
        <v>314</v>
      </c>
      <c r="J51" s="3" t="s">
        <v>315</v>
      </c>
      <c r="K51" s="3" t="s">
        <v>316</v>
      </c>
      <c r="L51" s="3" t="s">
        <v>317</v>
      </c>
      <c r="M51" s="234" t="s">
        <v>318</v>
      </c>
      <c r="N51" s="143"/>
      <c r="O51" s="143"/>
      <c r="P51" s="143"/>
      <c r="Q51" s="143"/>
      <c r="R51" s="143"/>
      <c r="S51" s="143"/>
      <c r="T51" s="143"/>
    </row>
    <row r="52" spans="1:20" x14ac:dyDescent="0.2">
      <c r="A52" s="143"/>
      <c r="B52" s="216">
        <v>102</v>
      </c>
      <c r="C52" s="219">
        <v>0.43418291168185608</v>
      </c>
      <c r="D52" s="219">
        <v>0.56472218873331348</v>
      </c>
      <c r="E52" s="219">
        <v>0.62169482148120803</v>
      </c>
      <c r="F52" s="219">
        <v>0.58017711099217339</v>
      </c>
      <c r="G52" s="218">
        <f>AVERAGE($D52:$F52)</f>
        <v>0.58886470706889826</v>
      </c>
      <c r="H52" s="218">
        <f t="shared" ref="H52:M63" si="7">AVERAGE($D52:$F52)</f>
        <v>0.58886470706889826</v>
      </c>
      <c r="I52" s="218">
        <f t="shared" si="7"/>
        <v>0.58886470706889826</v>
      </c>
      <c r="J52" s="218">
        <f t="shared" si="7"/>
        <v>0.58886470706889826</v>
      </c>
      <c r="K52" s="218">
        <f t="shared" si="7"/>
        <v>0.58886470706889826</v>
      </c>
      <c r="L52" s="218">
        <f t="shared" si="7"/>
        <v>0.58886470706889826</v>
      </c>
      <c r="M52" s="218">
        <f t="shared" si="7"/>
        <v>0.58886470706889826</v>
      </c>
      <c r="N52" s="143"/>
      <c r="O52" s="143"/>
      <c r="P52" s="143"/>
      <c r="Q52" s="143"/>
      <c r="R52" s="143"/>
      <c r="S52" s="143"/>
      <c r="T52" s="143"/>
    </row>
    <row r="53" spans="1:20" x14ac:dyDescent="0.2">
      <c r="A53" s="143"/>
      <c r="B53" s="216">
        <v>104</v>
      </c>
      <c r="C53" s="220">
        <v>1</v>
      </c>
      <c r="D53" s="219">
        <v>0.41664002305796205</v>
      </c>
      <c r="E53" s="219">
        <v>0</v>
      </c>
      <c r="F53" s="219">
        <v>0</v>
      </c>
      <c r="G53" s="218">
        <f t="shared" ref="G53:G63" si="8">AVERAGE($D53:$F53)</f>
        <v>0.13888000768598735</v>
      </c>
      <c r="H53" s="218">
        <f t="shared" si="7"/>
        <v>0.13888000768598735</v>
      </c>
      <c r="I53" s="218">
        <f t="shared" si="7"/>
        <v>0.13888000768598735</v>
      </c>
      <c r="J53" s="218">
        <f t="shared" si="7"/>
        <v>0.13888000768598735</v>
      </c>
      <c r="K53" s="218">
        <f t="shared" si="7"/>
        <v>0.13888000768598735</v>
      </c>
      <c r="L53" s="218">
        <f t="shared" si="7"/>
        <v>0.13888000768598735</v>
      </c>
      <c r="M53" s="218">
        <f t="shared" si="7"/>
        <v>0.13888000768598735</v>
      </c>
      <c r="N53" s="143"/>
      <c r="O53" s="143"/>
      <c r="P53" s="143"/>
      <c r="Q53" s="143"/>
      <c r="R53" s="143"/>
      <c r="S53" s="143"/>
      <c r="T53" s="143"/>
    </row>
    <row r="54" spans="1:20" x14ac:dyDescent="0.2">
      <c r="A54" s="143"/>
      <c r="B54" s="216">
        <v>105</v>
      </c>
      <c r="C54" s="219">
        <v>0.33305958035585026</v>
      </c>
      <c r="D54" s="219">
        <v>0.50607939884017494</v>
      </c>
      <c r="E54" s="219">
        <v>0.54894413424958044</v>
      </c>
      <c r="F54" s="219">
        <v>0.53808697798662919</v>
      </c>
      <c r="G54" s="218">
        <f t="shared" si="8"/>
        <v>0.53103683702546156</v>
      </c>
      <c r="H54" s="218">
        <f t="shared" si="7"/>
        <v>0.53103683702546156</v>
      </c>
      <c r="I54" s="218">
        <f t="shared" si="7"/>
        <v>0.53103683702546156</v>
      </c>
      <c r="J54" s="218">
        <f t="shared" si="7"/>
        <v>0.53103683702546156</v>
      </c>
      <c r="K54" s="218">
        <f t="shared" si="7"/>
        <v>0.53103683702546156</v>
      </c>
      <c r="L54" s="218">
        <f t="shared" si="7"/>
        <v>0.53103683702546156</v>
      </c>
      <c r="M54" s="218">
        <f t="shared" si="7"/>
        <v>0.53103683702546156</v>
      </c>
      <c r="N54" s="143"/>
      <c r="O54" s="143"/>
      <c r="P54" s="143"/>
      <c r="Q54" s="143"/>
      <c r="R54" s="143"/>
      <c r="S54" s="143"/>
      <c r="T54" s="143"/>
    </row>
    <row r="55" spans="1:20" x14ac:dyDescent="0.2">
      <c r="A55" s="143"/>
      <c r="B55" s="216">
        <v>106</v>
      </c>
      <c r="C55" s="219">
        <v>0.43442855228975508</v>
      </c>
      <c r="D55" s="219">
        <v>0.51220933587854711</v>
      </c>
      <c r="E55" s="219">
        <v>0.54973893003061114</v>
      </c>
      <c r="F55" s="219">
        <v>0.55297151852281956</v>
      </c>
      <c r="G55" s="218">
        <f t="shared" si="8"/>
        <v>0.53830659481065934</v>
      </c>
      <c r="H55" s="218">
        <f t="shared" si="7"/>
        <v>0.53830659481065934</v>
      </c>
      <c r="I55" s="218">
        <f t="shared" si="7"/>
        <v>0.53830659481065934</v>
      </c>
      <c r="J55" s="218">
        <f t="shared" si="7"/>
        <v>0.53830659481065934</v>
      </c>
      <c r="K55" s="218">
        <f t="shared" si="7"/>
        <v>0.53830659481065934</v>
      </c>
      <c r="L55" s="218">
        <f t="shared" si="7"/>
        <v>0.53830659481065934</v>
      </c>
      <c r="M55" s="218">
        <f t="shared" si="7"/>
        <v>0.53830659481065934</v>
      </c>
      <c r="N55" s="143"/>
      <c r="O55" s="143"/>
      <c r="P55" s="143"/>
      <c r="Q55" s="143"/>
      <c r="R55" s="143"/>
      <c r="S55" s="143"/>
      <c r="T55" s="143"/>
    </row>
    <row r="56" spans="1:20" x14ac:dyDescent="0.2">
      <c r="A56" s="143"/>
      <c r="B56" s="216">
        <v>107</v>
      </c>
      <c r="C56" s="219">
        <v>0.72644904647420039</v>
      </c>
      <c r="D56" s="219">
        <v>0.71013083907203789</v>
      </c>
      <c r="E56" s="219">
        <v>0.46886893687861536</v>
      </c>
      <c r="F56" s="219">
        <v>0.5066780903042496</v>
      </c>
      <c r="G56" s="218">
        <f t="shared" si="8"/>
        <v>0.5618926220849676</v>
      </c>
      <c r="H56" s="218">
        <f t="shared" si="7"/>
        <v>0.5618926220849676</v>
      </c>
      <c r="I56" s="218">
        <f t="shared" si="7"/>
        <v>0.5618926220849676</v>
      </c>
      <c r="J56" s="218">
        <f t="shared" si="7"/>
        <v>0.5618926220849676</v>
      </c>
      <c r="K56" s="218">
        <f t="shared" si="7"/>
        <v>0.5618926220849676</v>
      </c>
      <c r="L56" s="218">
        <f t="shared" si="7"/>
        <v>0.5618926220849676</v>
      </c>
      <c r="M56" s="218">
        <f t="shared" si="7"/>
        <v>0.5618926220849676</v>
      </c>
      <c r="N56" s="143"/>
      <c r="O56" s="143"/>
      <c r="P56" s="143"/>
      <c r="Q56" s="143"/>
      <c r="R56" s="143"/>
      <c r="S56" s="143"/>
      <c r="T56" s="143"/>
    </row>
    <row r="57" spans="1:20" x14ac:dyDescent="0.2">
      <c r="A57" s="143"/>
      <c r="B57" s="216">
        <v>108</v>
      </c>
      <c r="C57" s="219">
        <v>0</v>
      </c>
      <c r="D57" s="219">
        <v>0</v>
      </c>
      <c r="E57" s="219">
        <v>0</v>
      </c>
      <c r="F57" s="219">
        <v>0</v>
      </c>
      <c r="G57" s="218">
        <f t="shared" si="8"/>
        <v>0</v>
      </c>
      <c r="H57" s="218">
        <f t="shared" si="7"/>
        <v>0</v>
      </c>
      <c r="I57" s="218">
        <f t="shared" si="7"/>
        <v>0</v>
      </c>
      <c r="J57" s="218">
        <f t="shared" si="7"/>
        <v>0</v>
      </c>
      <c r="K57" s="218">
        <f t="shared" si="7"/>
        <v>0</v>
      </c>
      <c r="L57" s="218">
        <f t="shared" si="7"/>
        <v>0</v>
      </c>
      <c r="M57" s="218">
        <f t="shared" si="7"/>
        <v>0</v>
      </c>
      <c r="N57" s="143"/>
      <c r="O57" s="143"/>
      <c r="P57" s="143"/>
      <c r="Q57" s="143"/>
      <c r="R57" s="143"/>
      <c r="S57" s="143"/>
      <c r="T57" s="143"/>
    </row>
    <row r="58" spans="1:20" x14ac:dyDescent="0.2">
      <c r="A58" s="143"/>
      <c r="B58" s="216">
        <v>109</v>
      </c>
      <c r="C58" s="219">
        <v>0.9574260322024245</v>
      </c>
      <c r="D58" s="219">
        <v>0.92234665701602192</v>
      </c>
      <c r="E58" s="219">
        <v>0.86053693532004571</v>
      </c>
      <c r="F58" s="219">
        <v>0.79583224608270697</v>
      </c>
      <c r="G58" s="218">
        <f t="shared" si="8"/>
        <v>0.85957194613959154</v>
      </c>
      <c r="H58" s="218">
        <f t="shared" si="7"/>
        <v>0.85957194613959154</v>
      </c>
      <c r="I58" s="218">
        <f t="shared" si="7"/>
        <v>0.85957194613959154</v>
      </c>
      <c r="J58" s="218">
        <f t="shared" si="7"/>
        <v>0.85957194613959154</v>
      </c>
      <c r="K58" s="218">
        <f t="shared" si="7"/>
        <v>0.85957194613959154</v>
      </c>
      <c r="L58" s="218">
        <f t="shared" si="7"/>
        <v>0.85957194613959154</v>
      </c>
      <c r="M58" s="218">
        <f t="shared" si="7"/>
        <v>0.85957194613959154</v>
      </c>
      <c r="N58" s="143"/>
      <c r="O58" s="143"/>
      <c r="P58" s="143"/>
      <c r="Q58" s="143"/>
      <c r="R58" s="143"/>
      <c r="S58" s="143"/>
      <c r="T58" s="143"/>
    </row>
    <row r="59" spans="1:20" x14ac:dyDescent="0.2">
      <c r="A59" s="143"/>
      <c r="B59" s="216">
        <v>110</v>
      </c>
      <c r="C59" s="219">
        <v>0</v>
      </c>
      <c r="D59" s="219">
        <v>0</v>
      </c>
      <c r="E59" s="219">
        <v>0</v>
      </c>
      <c r="F59" s="219">
        <v>0</v>
      </c>
      <c r="G59" s="218">
        <f t="shared" si="8"/>
        <v>0</v>
      </c>
      <c r="H59" s="218">
        <f t="shared" si="7"/>
        <v>0</v>
      </c>
      <c r="I59" s="218">
        <f t="shared" si="7"/>
        <v>0</v>
      </c>
      <c r="J59" s="218">
        <f t="shared" si="7"/>
        <v>0</v>
      </c>
      <c r="K59" s="218">
        <f t="shared" si="7"/>
        <v>0</v>
      </c>
      <c r="L59" s="218">
        <f t="shared" si="7"/>
        <v>0</v>
      </c>
      <c r="M59" s="218">
        <f t="shared" si="7"/>
        <v>0</v>
      </c>
      <c r="N59" s="143"/>
      <c r="O59" s="143"/>
      <c r="P59" s="143"/>
      <c r="Q59" s="143"/>
      <c r="R59" s="143"/>
      <c r="S59" s="143"/>
      <c r="T59" s="143"/>
    </row>
    <row r="60" spans="1:20" x14ac:dyDescent="0.2">
      <c r="A60" s="143"/>
      <c r="B60" s="216">
        <v>111</v>
      </c>
      <c r="C60" s="219">
        <v>0.23951466550473002</v>
      </c>
      <c r="D60" s="219">
        <v>0.35363043999173616</v>
      </c>
      <c r="E60" s="219">
        <v>0.42460286307726725</v>
      </c>
      <c r="F60" s="219">
        <v>0.40789623419782917</v>
      </c>
      <c r="G60" s="218">
        <f t="shared" si="8"/>
        <v>0.3953765124222775</v>
      </c>
      <c r="H60" s="218">
        <f t="shared" si="7"/>
        <v>0.3953765124222775</v>
      </c>
      <c r="I60" s="218">
        <f t="shared" si="7"/>
        <v>0.3953765124222775</v>
      </c>
      <c r="J60" s="218">
        <f t="shared" si="7"/>
        <v>0.3953765124222775</v>
      </c>
      <c r="K60" s="218">
        <f t="shared" si="7"/>
        <v>0.3953765124222775</v>
      </c>
      <c r="L60" s="218">
        <f t="shared" si="7"/>
        <v>0.3953765124222775</v>
      </c>
      <c r="M60" s="218">
        <f t="shared" si="7"/>
        <v>0.3953765124222775</v>
      </c>
      <c r="N60" s="143"/>
      <c r="O60" s="143"/>
      <c r="P60" s="143"/>
      <c r="Q60" s="143"/>
      <c r="R60" s="143"/>
      <c r="S60" s="143"/>
      <c r="T60" s="143"/>
    </row>
    <row r="61" spans="1:20" x14ac:dyDescent="0.2">
      <c r="A61" s="143"/>
      <c r="B61" s="216">
        <v>114</v>
      </c>
      <c r="C61" s="219">
        <v>0</v>
      </c>
      <c r="D61" s="219">
        <v>0</v>
      </c>
      <c r="E61" s="219">
        <v>0</v>
      </c>
      <c r="F61" s="219">
        <v>0</v>
      </c>
      <c r="G61" s="218">
        <f t="shared" si="8"/>
        <v>0</v>
      </c>
      <c r="H61" s="218">
        <f t="shared" si="7"/>
        <v>0</v>
      </c>
      <c r="I61" s="218">
        <f t="shared" si="7"/>
        <v>0</v>
      </c>
      <c r="J61" s="218">
        <f t="shared" si="7"/>
        <v>0</v>
      </c>
      <c r="K61" s="218">
        <f t="shared" si="7"/>
        <v>0</v>
      </c>
      <c r="L61" s="218">
        <f t="shared" si="7"/>
        <v>0</v>
      </c>
      <c r="M61" s="218">
        <f t="shared" si="7"/>
        <v>0</v>
      </c>
      <c r="N61" s="143"/>
      <c r="O61" s="143"/>
      <c r="P61" s="143"/>
      <c r="Q61" s="143"/>
      <c r="R61" s="143"/>
      <c r="S61" s="143"/>
      <c r="T61" s="143"/>
    </row>
    <row r="62" spans="1:20" x14ac:dyDescent="0.2">
      <c r="A62" s="143"/>
      <c r="B62" s="216">
        <v>115</v>
      </c>
      <c r="C62" s="219">
        <v>0</v>
      </c>
      <c r="D62" s="219">
        <v>0</v>
      </c>
      <c r="E62" s="219">
        <v>0</v>
      </c>
      <c r="F62" s="219">
        <v>0</v>
      </c>
      <c r="G62" s="218">
        <f t="shared" si="8"/>
        <v>0</v>
      </c>
      <c r="H62" s="218">
        <f t="shared" si="7"/>
        <v>0</v>
      </c>
      <c r="I62" s="218">
        <f t="shared" si="7"/>
        <v>0</v>
      </c>
      <c r="J62" s="218">
        <f t="shared" si="7"/>
        <v>0</v>
      </c>
      <c r="K62" s="218">
        <f t="shared" si="7"/>
        <v>0</v>
      </c>
      <c r="L62" s="218">
        <f t="shared" si="7"/>
        <v>0</v>
      </c>
      <c r="M62" s="218">
        <f t="shared" si="7"/>
        <v>0</v>
      </c>
      <c r="N62" s="143"/>
      <c r="O62" s="143"/>
      <c r="P62" s="143"/>
      <c r="Q62" s="143"/>
      <c r="R62" s="143"/>
      <c r="S62" s="143"/>
      <c r="T62" s="143"/>
    </row>
    <row r="63" spans="1:20" x14ac:dyDescent="0.2">
      <c r="A63" s="143"/>
      <c r="B63" s="216">
        <v>116</v>
      </c>
      <c r="C63" s="219">
        <v>0.98307408118389994</v>
      </c>
      <c r="D63" s="219">
        <v>0.94362222165116172</v>
      </c>
      <c r="E63" s="219">
        <v>0.96799736121383095</v>
      </c>
      <c r="F63" s="219">
        <v>0.9210811619599315</v>
      </c>
      <c r="G63" s="218">
        <f t="shared" si="8"/>
        <v>0.94423358160830817</v>
      </c>
      <c r="H63" s="218">
        <f t="shared" si="7"/>
        <v>0.94423358160830817</v>
      </c>
      <c r="I63" s="218">
        <f t="shared" si="7"/>
        <v>0.94423358160830817</v>
      </c>
      <c r="J63" s="218">
        <f t="shared" si="7"/>
        <v>0.94423358160830817</v>
      </c>
      <c r="K63" s="218">
        <f t="shared" si="7"/>
        <v>0.94423358160830817</v>
      </c>
      <c r="L63" s="218">
        <f t="shared" si="7"/>
        <v>0.94423358160830817</v>
      </c>
      <c r="M63" s="218">
        <f t="shared" si="7"/>
        <v>0.94423358160830817</v>
      </c>
      <c r="N63" s="143"/>
      <c r="O63" s="143"/>
      <c r="P63" s="143"/>
      <c r="Q63" s="143"/>
      <c r="R63" s="143"/>
      <c r="S63" s="143"/>
      <c r="T63" s="143"/>
    </row>
    <row r="64" spans="1:20" x14ac:dyDescent="0.2">
      <c r="A64" s="143"/>
      <c r="B64" s="216">
        <v>118</v>
      </c>
      <c r="C64" s="219">
        <v>1</v>
      </c>
      <c r="D64" s="219">
        <v>1</v>
      </c>
      <c r="E64" s="219">
        <v>1</v>
      </c>
      <c r="F64" s="219">
        <v>1</v>
      </c>
      <c r="G64" s="218">
        <f>MIN(AVERAGE($D64:$F64),1)</f>
        <v>1</v>
      </c>
      <c r="H64" s="218">
        <f t="shared" ref="H64:M64" si="9">MIN(AVERAGE($D64:$F64),1)</f>
        <v>1</v>
      </c>
      <c r="I64" s="218">
        <f t="shared" si="9"/>
        <v>1</v>
      </c>
      <c r="J64" s="218">
        <f t="shared" si="9"/>
        <v>1</v>
      </c>
      <c r="K64" s="218">
        <f t="shared" si="9"/>
        <v>1</v>
      </c>
      <c r="L64" s="218">
        <f t="shared" si="9"/>
        <v>1</v>
      </c>
      <c r="M64" s="218">
        <f t="shared" si="9"/>
        <v>1</v>
      </c>
      <c r="N64" s="143"/>
      <c r="O64" s="143"/>
      <c r="P64" s="143"/>
      <c r="Q64" s="143"/>
      <c r="R64" s="143"/>
      <c r="S64" s="143"/>
      <c r="T64" s="143"/>
    </row>
    <row r="65" spans="1:20" x14ac:dyDescent="0.2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</row>
    <row r="66" spans="1:20" x14ac:dyDescent="0.2">
      <c r="A66" s="143"/>
      <c r="B66" s="136" t="s">
        <v>281</v>
      </c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</row>
    <row r="67" spans="1:20" x14ac:dyDescent="0.2">
      <c r="A67" s="143"/>
      <c r="B67" s="309" t="s">
        <v>341</v>
      </c>
      <c r="C67" s="310"/>
      <c r="D67" s="310"/>
      <c r="E67" s="310"/>
      <c r="F67" s="310"/>
      <c r="G67" s="310"/>
      <c r="H67" s="310"/>
      <c r="I67" s="310"/>
      <c r="J67" s="310"/>
      <c r="K67" s="310"/>
      <c r="L67" s="310"/>
      <c r="M67" s="311"/>
      <c r="N67" s="143"/>
      <c r="O67" s="143"/>
      <c r="P67" s="143"/>
      <c r="Q67" s="143"/>
      <c r="R67" s="143"/>
      <c r="S67" s="143"/>
      <c r="T67" s="143"/>
    </row>
    <row r="68" spans="1:20" x14ac:dyDescent="0.2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</row>
    <row r="69" spans="1:20" x14ac:dyDescent="0.2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</row>
    <row r="70" spans="1:20" x14ac:dyDescent="0.2">
      <c r="A70" s="143"/>
      <c r="B70" s="34" t="s">
        <v>227</v>
      </c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</row>
    <row r="71" spans="1:20" x14ac:dyDescent="0.2">
      <c r="A71" s="143"/>
      <c r="B71" s="141" t="s">
        <v>280</v>
      </c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</row>
    <row r="72" spans="1:20" x14ac:dyDescent="0.2">
      <c r="A72" s="143"/>
      <c r="B72" s="143"/>
      <c r="C72" s="308" t="s">
        <v>340</v>
      </c>
      <c r="D72" s="289"/>
      <c r="E72" s="289"/>
      <c r="F72" s="289"/>
      <c r="G72" s="289"/>
      <c r="H72" s="289"/>
      <c r="I72" s="289"/>
      <c r="J72" s="289"/>
      <c r="K72" s="289"/>
      <c r="L72" s="289"/>
      <c r="M72" s="290"/>
      <c r="N72" s="143"/>
      <c r="O72" s="143"/>
      <c r="P72" s="143"/>
      <c r="Q72" s="143"/>
      <c r="R72" s="143"/>
      <c r="S72" s="143"/>
      <c r="T72" s="143"/>
    </row>
    <row r="73" spans="1:20" ht="25.5" x14ac:dyDescent="0.2">
      <c r="A73" s="143"/>
      <c r="B73" s="3" t="s">
        <v>35</v>
      </c>
      <c r="C73" s="3" t="s">
        <v>325</v>
      </c>
      <c r="D73" s="3" t="s">
        <v>326</v>
      </c>
      <c r="E73" s="3" t="s">
        <v>327</v>
      </c>
      <c r="F73" s="163" t="s">
        <v>328</v>
      </c>
      <c r="G73" s="3" t="s">
        <v>312</v>
      </c>
      <c r="H73" s="3" t="s">
        <v>313</v>
      </c>
      <c r="I73" s="3" t="s">
        <v>314</v>
      </c>
      <c r="J73" s="3" t="s">
        <v>315</v>
      </c>
      <c r="K73" s="3" t="s">
        <v>316</v>
      </c>
      <c r="L73" s="3" t="s">
        <v>317</v>
      </c>
      <c r="M73" s="234" t="s">
        <v>318</v>
      </c>
      <c r="N73" s="143"/>
      <c r="O73" s="143"/>
      <c r="P73" s="143"/>
      <c r="Q73" s="143"/>
      <c r="R73" s="143"/>
      <c r="S73" s="143"/>
      <c r="T73" s="143"/>
    </row>
    <row r="74" spans="1:20" x14ac:dyDescent="0.2">
      <c r="A74" s="143"/>
      <c r="B74" s="216">
        <v>102</v>
      </c>
      <c r="C74" s="189">
        <v>549563.36927207059</v>
      </c>
      <c r="D74" s="189">
        <v>1019545.540828315</v>
      </c>
      <c r="E74" s="189">
        <v>1750771.4229565277</v>
      </c>
      <c r="F74" s="189">
        <v>2143016.3991335575</v>
      </c>
      <c r="G74" s="199">
        <v>1410476.6256051215</v>
      </c>
      <c r="H74" s="199">
        <v>1358170.4058087417</v>
      </c>
      <c r="I74" s="199">
        <v>804209.63931310747</v>
      </c>
      <c r="J74" s="199">
        <v>1426956.6674587759</v>
      </c>
      <c r="K74" s="199">
        <v>1450960.2066804022</v>
      </c>
      <c r="L74" s="199">
        <v>1458841.965827802</v>
      </c>
      <c r="M74" s="199">
        <v>1467619.3794237699</v>
      </c>
      <c r="N74" s="143"/>
      <c r="O74" s="143"/>
      <c r="P74" s="143"/>
      <c r="Q74" s="143"/>
      <c r="R74" s="143"/>
      <c r="S74" s="143"/>
      <c r="T74" s="143"/>
    </row>
    <row r="75" spans="1:20" x14ac:dyDescent="0.2">
      <c r="A75" s="143"/>
      <c r="B75" s="216">
        <v>104</v>
      </c>
      <c r="C75" s="189">
        <v>32260.506660621711</v>
      </c>
      <c r="D75" s="189">
        <v>31532.826059253995</v>
      </c>
      <c r="E75" s="189">
        <v>0</v>
      </c>
      <c r="F75" s="189">
        <v>0</v>
      </c>
      <c r="G75" s="199">
        <v>5533.3269811305399</v>
      </c>
      <c r="H75" s="199">
        <v>5533.3269811305399</v>
      </c>
      <c r="I75" s="199">
        <v>3205.8224446673926</v>
      </c>
      <c r="J75" s="199">
        <v>5533.3269811305399</v>
      </c>
      <c r="K75" s="199">
        <v>5533.3269811305399</v>
      </c>
      <c r="L75" s="199">
        <v>5533.3269811305399</v>
      </c>
      <c r="M75" s="199">
        <v>5533.3269811305399</v>
      </c>
      <c r="N75" s="143"/>
      <c r="O75" s="143"/>
      <c r="P75" s="143"/>
      <c r="Q75" s="143"/>
      <c r="R75" s="143"/>
      <c r="S75" s="143"/>
      <c r="T75" s="143"/>
    </row>
    <row r="76" spans="1:20" x14ac:dyDescent="0.2">
      <c r="A76" s="143"/>
      <c r="B76" s="216">
        <v>105</v>
      </c>
      <c r="C76" s="189">
        <v>2251723.3160563973</v>
      </c>
      <c r="D76" s="189">
        <v>3506407.422151925</v>
      </c>
      <c r="E76" s="189">
        <v>3986403.3194769849</v>
      </c>
      <c r="F76" s="189">
        <v>4512849.6140232943</v>
      </c>
      <c r="G76" s="199">
        <v>3894900.5157666532</v>
      </c>
      <c r="H76" s="199">
        <v>3792248.7702456946</v>
      </c>
      <c r="I76" s="199">
        <v>2099395.0769013218</v>
      </c>
      <c r="J76" s="199">
        <v>2881581.1421240494</v>
      </c>
      <c r="K76" s="199">
        <v>2897712.1307059145</v>
      </c>
      <c r="L76" s="199">
        <v>3220331.9023432131</v>
      </c>
      <c r="M76" s="199">
        <v>3289255.2171929991</v>
      </c>
      <c r="N76" s="143"/>
      <c r="O76" s="143"/>
      <c r="P76" s="143"/>
      <c r="Q76" s="143"/>
      <c r="R76" s="143"/>
      <c r="S76" s="143"/>
      <c r="T76" s="143"/>
    </row>
    <row r="77" spans="1:20" x14ac:dyDescent="0.2">
      <c r="A77" s="143"/>
      <c r="B77" s="216">
        <v>106</v>
      </c>
      <c r="C77" s="189">
        <v>4566121.1831034524</v>
      </c>
      <c r="D77" s="189">
        <v>4523217.5225989176</v>
      </c>
      <c r="E77" s="189">
        <v>5208560.6795086581</v>
      </c>
      <c r="F77" s="189">
        <v>5525816.229903644</v>
      </c>
      <c r="G77" s="199">
        <v>5222784.2532074424</v>
      </c>
      <c r="H77" s="199">
        <v>5293675.2306055482</v>
      </c>
      <c r="I77" s="199">
        <v>3116011.0689398008</v>
      </c>
      <c r="J77" s="199">
        <v>5057130.846838397</v>
      </c>
      <c r="K77" s="199">
        <v>4960198.2859062925</v>
      </c>
      <c r="L77" s="199">
        <v>5124404.9376345593</v>
      </c>
      <c r="M77" s="199">
        <v>5209040.0841200547</v>
      </c>
      <c r="N77" s="143"/>
      <c r="O77" s="143"/>
      <c r="P77" s="143"/>
      <c r="Q77" s="143"/>
      <c r="R77" s="143"/>
      <c r="S77" s="143"/>
      <c r="T77" s="143"/>
    </row>
    <row r="78" spans="1:20" x14ac:dyDescent="0.2">
      <c r="A78" s="143"/>
      <c r="B78" s="216">
        <v>107</v>
      </c>
      <c r="C78" s="189">
        <v>2326586.7687447476</v>
      </c>
      <c r="D78" s="189">
        <v>2523535.1994237099</v>
      </c>
      <c r="E78" s="189">
        <v>962373.07744183496</v>
      </c>
      <c r="F78" s="189">
        <v>1509387.5210114622</v>
      </c>
      <c r="G78" s="199">
        <v>2083710.9887174838</v>
      </c>
      <c r="H78" s="199">
        <v>3783351.1133217905</v>
      </c>
      <c r="I78" s="199">
        <v>2278679.9210622185</v>
      </c>
      <c r="J78" s="199">
        <v>2934267.1143816374</v>
      </c>
      <c r="K78" s="199">
        <v>4208500.605994164</v>
      </c>
      <c r="L78" s="199">
        <v>1660033.6227691101</v>
      </c>
      <c r="M78" s="199">
        <v>1660033.6227691101</v>
      </c>
      <c r="N78" s="143"/>
      <c r="O78" s="143"/>
      <c r="P78" s="143"/>
      <c r="Q78" s="143"/>
      <c r="R78" s="143"/>
      <c r="S78" s="143"/>
      <c r="T78" s="143"/>
    </row>
    <row r="79" spans="1:20" x14ac:dyDescent="0.2">
      <c r="A79" s="143"/>
      <c r="B79" s="216">
        <v>108</v>
      </c>
      <c r="C79" s="189">
        <v>0</v>
      </c>
      <c r="D79" s="189">
        <v>0</v>
      </c>
      <c r="E79" s="189">
        <v>0</v>
      </c>
      <c r="F79" s="189">
        <v>0</v>
      </c>
      <c r="G79" s="199">
        <v>0</v>
      </c>
      <c r="H79" s="199">
        <v>0</v>
      </c>
      <c r="I79" s="199">
        <v>0</v>
      </c>
      <c r="J79" s="199">
        <v>0</v>
      </c>
      <c r="K79" s="199">
        <v>0</v>
      </c>
      <c r="L79" s="199">
        <v>0</v>
      </c>
      <c r="M79" s="199">
        <v>0</v>
      </c>
      <c r="N79" s="143"/>
      <c r="O79" s="143"/>
      <c r="P79" s="143"/>
      <c r="Q79" s="143"/>
      <c r="R79" s="143"/>
      <c r="S79" s="143"/>
      <c r="T79" s="143"/>
    </row>
    <row r="80" spans="1:20" x14ac:dyDescent="0.2">
      <c r="A80" s="143"/>
      <c r="B80" s="216">
        <v>109</v>
      </c>
      <c r="C80" s="189">
        <v>2237148.1245101751</v>
      </c>
      <c r="D80" s="189">
        <v>4782737.9077771083</v>
      </c>
      <c r="E80" s="189">
        <v>5091478.4061199557</v>
      </c>
      <c r="F80" s="189">
        <v>5709623.8227225477</v>
      </c>
      <c r="G80" s="199">
        <v>5236637.6875242693</v>
      </c>
      <c r="H80" s="199">
        <v>5042441.8271283982</v>
      </c>
      <c r="I80" s="199">
        <v>2985766.959513112</v>
      </c>
      <c r="J80" s="199">
        <v>5297822.6846352974</v>
      </c>
      <c r="K80" s="199">
        <v>5386939.9630361423</v>
      </c>
      <c r="L80" s="199">
        <v>5416202.3529588077</v>
      </c>
      <c r="M80" s="199">
        <v>5448790.0144635942</v>
      </c>
      <c r="N80" s="143"/>
      <c r="O80" s="143"/>
      <c r="P80" s="143"/>
      <c r="Q80" s="143"/>
      <c r="R80" s="143"/>
      <c r="S80" s="143"/>
      <c r="T80" s="143"/>
    </row>
    <row r="81" spans="1:20" x14ac:dyDescent="0.2">
      <c r="A81" s="143"/>
      <c r="B81" s="216">
        <v>110</v>
      </c>
      <c r="C81" s="189">
        <v>0</v>
      </c>
      <c r="D81" s="189">
        <v>0</v>
      </c>
      <c r="E81" s="189">
        <v>0</v>
      </c>
      <c r="F81" s="189">
        <v>0</v>
      </c>
      <c r="G81" s="199">
        <v>0</v>
      </c>
      <c r="H81" s="199">
        <v>0</v>
      </c>
      <c r="I81" s="199">
        <v>0</v>
      </c>
      <c r="J81" s="199">
        <v>0</v>
      </c>
      <c r="K81" s="199">
        <v>0</v>
      </c>
      <c r="L81" s="199">
        <v>0</v>
      </c>
      <c r="M81" s="199">
        <v>0</v>
      </c>
      <c r="N81" s="143"/>
      <c r="O81" s="143"/>
      <c r="P81" s="143"/>
      <c r="Q81" s="143"/>
      <c r="R81" s="143"/>
      <c r="S81" s="143"/>
      <c r="T81" s="143"/>
    </row>
    <row r="82" spans="1:20" x14ac:dyDescent="0.2">
      <c r="A82" s="143"/>
      <c r="B82" s="216">
        <v>111</v>
      </c>
      <c r="C82" s="189">
        <v>5738781.4116558675</v>
      </c>
      <c r="D82" s="189">
        <v>7113625.8390289666</v>
      </c>
      <c r="E82" s="189">
        <v>9909995.2283204533</v>
      </c>
      <c r="F82" s="189">
        <v>11574053.668216933</v>
      </c>
      <c r="G82" s="199">
        <v>9468325.5453417432</v>
      </c>
      <c r="H82" s="199">
        <v>8733753.6588435974</v>
      </c>
      <c r="I82" s="199">
        <v>4774100.722342669</v>
      </c>
      <c r="J82" s="199">
        <v>7937202.2694221688</v>
      </c>
      <c r="K82" s="199">
        <v>8639636.6358860228</v>
      </c>
      <c r="L82" s="199">
        <v>9065841.3658646345</v>
      </c>
      <c r="M82" s="199">
        <v>9151541.4192894176</v>
      </c>
      <c r="N82" s="143"/>
      <c r="O82" s="143"/>
      <c r="P82" s="143"/>
      <c r="Q82" s="143"/>
      <c r="R82" s="143"/>
      <c r="S82" s="143"/>
      <c r="T82" s="143"/>
    </row>
    <row r="83" spans="1:20" x14ac:dyDescent="0.2">
      <c r="A83" s="143"/>
      <c r="B83" s="216">
        <v>114</v>
      </c>
      <c r="C83" s="189">
        <v>0</v>
      </c>
      <c r="D83" s="189">
        <v>0</v>
      </c>
      <c r="E83" s="189">
        <v>0</v>
      </c>
      <c r="F83" s="189">
        <v>0</v>
      </c>
      <c r="G83" s="199">
        <v>0</v>
      </c>
      <c r="H83" s="199">
        <v>0</v>
      </c>
      <c r="I83" s="199">
        <v>0</v>
      </c>
      <c r="J83" s="199">
        <v>0</v>
      </c>
      <c r="K83" s="199">
        <v>0</v>
      </c>
      <c r="L83" s="199">
        <v>0</v>
      </c>
      <c r="M83" s="199">
        <v>0</v>
      </c>
      <c r="N83" s="143"/>
      <c r="O83" s="143"/>
      <c r="P83" s="143"/>
      <c r="Q83" s="143"/>
      <c r="R83" s="143"/>
      <c r="S83" s="143"/>
      <c r="T83" s="143"/>
    </row>
    <row r="84" spans="1:20" x14ac:dyDescent="0.2">
      <c r="A84" s="143"/>
      <c r="B84" s="216">
        <v>115</v>
      </c>
      <c r="C84" s="189">
        <v>0</v>
      </c>
      <c r="D84" s="189">
        <v>0</v>
      </c>
      <c r="E84" s="189">
        <v>0</v>
      </c>
      <c r="F84" s="189">
        <v>0</v>
      </c>
      <c r="G84" s="199">
        <v>0</v>
      </c>
      <c r="H84" s="199">
        <v>0</v>
      </c>
      <c r="I84" s="199">
        <v>0</v>
      </c>
      <c r="J84" s="199">
        <v>0</v>
      </c>
      <c r="K84" s="199">
        <v>0</v>
      </c>
      <c r="L84" s="199">
        <v>0</v>
      </c>
      <c r="M84" s="199">
        <v>0</v>
      </c>
      <c r="N84" s="143"/>
      <c r="O84" s="143"/>
      <c r="P84" s="143"/>
      <c r="Q84" s="143"/>
      <c r="R84" s="143"/>
      <c r="S84" s="143"/>
      <c r="T84" s="143"/>
    </row>
    <row r="85" spans="1:20" x14ac:dyDescent="0.2">
      <c r="A85" s="143"/>
      <c r="B85" s="216">
        <v>116</v>
      </c>
      <c r="C85" s="189">
        <v>17586753.538519945</v>
      </c>
      <c r="D85" s="189">
        <v>22507976.96325174</v>
      </c>
      <c r="E85" s="189">
        <v>25580428.422768068</v>
      </c>
      <c r="F85" s="189">
        <v>24244982.841968525</v>
      </c>
      <c r="G85" s="199">
        <v>37172532.237872429</v>
      </c>
      <c r="H85" s="199">
        <v>32127652.650331911</v>
      </c>
      <c r="I85" s="199">
        <v>21178454.524017837</v>
      </c>
      <c r="J85" s="199">
        <v>34138533.852774099</v>
      </c>
      <c r="K85" s="199">
        <v>24388433.707752798</v>
      </c>
      <c r="L85" s="199">
        <v>24557135.655204926</v>
      </c>
      <c r="M85" s="199">
        <v>24630484.328010198</v>
      </c>
      <c r="N85" s="143"/>
      <c r="O85" s="143"/>
      <c r="P85" s="143"/>
      <c r="Q85" s="143"/>
      <c r="R85" s="143"/>
      <c r="S85" s="143"/>
      <c r="T85" s="143"/>
    </row>
    <row r="86" spans="1:20" x14ac:dyDescent="0.2">
      <c r="A86" s="143"/>
      <c r="B86" s="216">
        <v>118</v>
      </c>
      <c r="C86" s="189">
        <v>103266.14389422168</v>
      </c>
      <c r="D86" s="189">
        <v>69208.432076392346</v>
      </c>
      <c r="E86" s="189">
        <v>62195.109732331752</v>
      </c>
      <c r="F86" s="189">
        <v>18253.564055826344</v>
      </c>
      <c r="G86" s="199">
        <v>29470.2190710959</v>
      </c>
      <c r="H86" s="199">
        <v>29470.2190710959</v>
      </c>
      <c r="I86" s="199">
        <v>17074.047868409431</v>
      </c>
      <c r="J86" s="199">
        <v>29470.2190710959</v>
      </c>
      <c r="K86" s="199">
        <v>29470.2190710959</v>
      </c>
      <c r="L86" s="199">
        <v>29470.2190710959</v>
      </c>
      <c r="M86" s="199">
        <v>29470.2190710959</v>
      </c>
      <c r="N86" s="143"/>
      <c r="O86" s="143"/>
      <c r="P86" s="143"/>
      <c r="Q86" s="143"/>
      <c r="R86" s="143"/>
      <c r="S86" s="143"/>
      <c r="T86" s="143"/>
    </row>
    <row r="87" spans="1:20" x14ac:dyDescent="0.2">
      <c r="A87" s="143"/>
      <c r="B87" s="134" t="s">
        <v>36</v>
      </c>
      <c r="C87" s="184">
        <f t="shared" ref="C87:M87" si="10">SUM(C74:C86)</f>
        <v>35392204.362417504</v>
      </c>
      <c r="D87" s="184">
        <f t="shared" si="10"/>
        <v>46077787.653196335</v>
      </c>
      <c r="E87" s="184">
        <f t="shared" si="10"/>
        <v>52552205.666324809</v>
      </c>
      <c r="F87" s="184">
        <f t="shared" si="10"/>
        <v>55237983.661035784</v>
      </c>
      <c r="G87" s="184">
        <f t="shared" si="10"/>
        <v>64524371.400087371</v>
      </c>
      <c r="H87" s="184">
        <f t="shared" si="10"/>
        <v>60166297.202337913</v>
      </c>
      <c r="I87" s="184">
        <f t="shared" si="10"/>
        <v>37256897.782403141</v>
      </c>
      <c r="J87" s="184">
        <f t="shared" si="10"/>
        <v>59708498.123686649</v>
      </c>
      <c r="K87" s="184">
        <f t="shared" si="10"/>
        <v>51967385.082013957</v>
      </c>
      <c r="L87" s="184">
        <f t="shared" si="10"/>
        <v>50537795.348655276</v>
      </c>
      <c r="M87" s="184">
        <f t="shared" si="10"/>
        <v>50891767.611321367</v>
      </c>
      <c r="N87" s="143"/>
      <c r="O87" s="143"/>
      <c r="P87" s="143"/>
      <c r="Q87" s="143"/>
      <c r="R87" s="143"/>
      <c r="S87" s="143"/>
      <c r="T87" s="143"/>
    </row>
    <row r="88" spans="1:20" x14ac:dyDescent="0.2">
      <c r="A88" s="143"/>
      <c r="B88" s="143" t="s">
        <v>231</v>
      </c>
      <c r="C88" s="198"/>
      <c r="D88" s="198"/>
      <c r="E88" s="198"/>
      <c r="F88" s="198"/>
      <c r="G88" s="221"/>
      <c r="H88" s="221"/>
      <c r="I88" s="221"/>
      <c r="J88" s="221"/>
      <c r="K88" s="221"/>
      <c r="L88" s="221"/>
      <c r="M88" s="221"/>
      <c r="N88" s="143"/>
      <c r="O88" s="143"/>
      <c r="P88" s="143"/>
      <c r="Q88" s="143"/>
      <c r="R88" s="143"/>
      <c r="S88" s="143"/>
      <c r="T88" s="143"/>
    </row>
    <row r="89" spans="1:20" x14ac:dyDescent="0.2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</row>
    <row r="90" spans="1:20" x14ac:dyDescent="0.2">
      <c r="A90" s="143"/>
      <c r="B90" s="143"/>
      <c r="C90" s="143"/>
      <c r="D90" s="143"/>
      <c r="E90" s="143"/>
      <c r="F90" s="143"/>
      <c r="G90" s="143"/>
      <c r="H90" s="143"/>
      <c r="I90" s="181"/>
      <c r="J90" s="181"/>
      <c r="K90" s="181"/>
      <c r="L90" s="181"/>
      <c r="M90" s="181"/>
      <c r="N90" s="143"/>
      <c r="O90" s="143"/>
      <c r="P90" s="143"/>
      <c r="Q90" s="143"/>
      <c r="R90" s="143"/>
      <c r="S90" s="143"/>
      <c r="T90" s="143"/>
    </row>
    <row r="91" spans="1:20" x14ac:dyDescent="0.2">
      <c r="A91" s="143"/>
      <c r="B91" s="34" t="s">
        <v>310</v>
      </c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</row>
    <row r="92" spans="1:20" x14ac:dyDescent="0.2">
      <c r="A92" s="143"/>
      <c r="B92" s="141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</row>
    <row r="93" spans="1:20" x14ac:dyDescent="0.2">
      <c r="A93" s="143"/>
      <c r="B93" s="143"/>
      <c r="C93" s="308" t="s">
        <v>340</v>
      </c>
      <c r="D93" s="289"/>
      <c r="E93" s="289"/>
      <c r="F93" s="289"/>
      <c r="G93" s="289"/>
      <c r="H93" s="289"/>
      <c r="I93" s="289"/>
      <c r="J93" s="289"/>
      <c r="K93" s="289"/>
      <c r="L93" s="289"/>
      <c r="M93" s="290"/>
      <c r="N93" s="143"/>
      <c r="O93" s="143"/>
      <c r="P93" s="143"/>
      <c r="Q93" s="143"/>
      <c r="R93" s="143"/>
      <c r="S93" s="143"/>
      <c r="T93" s="143"/>
    </row>
    <row r="94" spans="1:20" ht="25.5" x14ac:dyDescent="0.2">
      <c r="A94" s="143"/>
      <c r="B94" s="3" t="s">
        <v>35</v>
      </c>
      <c r="C94" s="3" t="s">
        <v>325</v>
      </c>
      <c r="D94" s="3" t="s">
        <v>326</v>
      </c>
      <c r="E94" s="3" t="s">
        <v>327</v>
      </c>
      <c r="F94" s="163" t="s">
        <v>328</v>
      </c>
      <c r="G94" s="3" t="s">
        <v>312</v>
      </c>
      <c r="H94" s="3" t="s">
        <v>313</v>
      </c>
      <c r="I94" s="3" t="s">
        <v>314</v>
      </c>
      <c r="J94" s="3" t="s">
        <v>315</v>
      </c>
      <c r="K94" s="3" t="s">
        <v>316</v>
      </c>
      <c r="L94" s="3" t="s">
        <v>317</v>
      </c>
      <c r="M94" s="234" t="s">
        <v>318</v>
      </c>
      <c r="N94" s="143"/>
      <c r="O94" s="143"/>
      <c r="P94" s="143"/>
      <c r="Q94" s="143"/>
      <c r="R94" s="143"/>
      <c r="S94" s="143"/>
      <c r="T94" s="143"/>
    </row>
    <row r="95" spans="1:20" x14ac:dyDescent="0.2">
      <c r="A95" s="143"/>
      <c r="B95" s="216">
        <v>102</v>
      </c>
      <c r="C95" s="199">
        <f t="shared" ref="C95:M107" si="11">C74-C29+C8</f>
        <v>549563.36927207059</v>
      </c>
      <c r="D95" s="199">
        <f t="shared" si="11"/>
        <v>1024219.8751059354</v>
      </c>
      <c r="E95" s="199">
        <f t="shared" si="11"/>
        <v>1755376.1857472253</v>
      </c>
      <c r="F95" s="199">
        <f t="shared" si="11"/>
        <v>2143016.3991335575</v>
      </c>
      <c r="G95" s="199">
        <f>G74-G29+G8</f>
        <v>1413569.6579612275</v>
      </c>
      <c r="H95" s="199">
        <f t="shared" ref="H95:M98" si="12">H74-H29+H8</f>
        <v>1361263.4381648477</v>
      </c>
      <c r="I95" s="199">
        <f t="shared" si="12"/>
        <v>806001.63761414797</v>
      </c>
      <c r="J95" s="199">
        <f t="shared" si="12"/>
        <v>1430049.6998148819</v>
      </c>
      <c r="K95" s="199">
        <f t="shared" si="12"/>
        <v>1454053.2390365081</v>
      </c>
      <c r="L95" s="199">
        <f t="shared" si="12"/>
        <v>1461934.9981839079</v>
      </c>
      <c r="M95" s="199">
        <f t="shared" si="12"/>
        <v>1470712.4117798759</v>
      </c>
      <c r="N95" s="143"/>
      <c r="O95" s="143"/>
      <c r="P95" s="143"/>
      <c r="Q95" s="143"/>
      <c r="R95" s="143"/>
      <c r="S95" s="143"/>
      <c r="T95" s="143"/>
    </row>
    <row r="96" spans="1:20" x14ac:dyDescent="0.2">
      <c r="A96" s="143"/>
      <c r="B96" s="216">
        <v>104</v>
      </c>
      <c r="C96" s="199">
        <f t="shared" si="11"/>
        <v>54397.843190003565</v>
      </c>
      <c r="D96" s="199">
        <f t="shared" si="11"/>
        <v>31532.826059253995</v>
      </c>
      <c r="E96" s="199">
        <f t="shared" si="11"/>
        <v>8552.8604651162786</v>
      </c>
      <c r="F96" s="199">
        <f t="shared" si="11"/>
        <v>8466.2292817679554</v>
      </c>
      <c r="G96" s="199">
        <f t="shared" si="11"/>
        <v>11206.356896758618</v>
      </c>
      <c r="H96" s="199">
        <f t="shared" si="12"/>
        <v>11206.356896758618</v>
      </c>
      <c r="I96" s="199">
        <f t="shared" si="12"/>
        <v>6492.5840430347889</v>
      </c>
      <c r="J96" s="199">
        <f t="shared" si="12"/>
        <v>11206.356896758618</v>
      </c>
      <c r="K96" s="199">
        <f t="shared" si="12"/>
        <v>11206.356896758618</v>
      </c>
      <c r="L96" s="199">
        <f t="shared" si="12"/>
        <v>11206.356896758618</v>
      </c>
      <c r="M96" s="199">
        <f t="shared" si="12"/>
        <v>11206.356896758618</v>
      </c>
      <c r="N96" s="143"/>
      <c r="O96" s="143"/>
      <c r="P96" s="143"/>
      <c r="Q96" s="143"/>
      <c r="R96" s="143"/>
      <c r="S96" s="143"/>
      <c r="T96" s="143"/>
    </row>
    <row r="97" spans="1:20" x14ac:dyDescent="0.2">
      <c r="A97" s="143"/>
      <c r="B97" s="216">
        <v>105</v>
      </c>
      <c r="C97" s="199">
        <f t="shared" si="11"/>
        <v>2252065.1425763364</v>
      </c>
      <c r="D97" s="199">
        <f t="shared" si="11"/>
        <v>3525401.5685164197</v>
      </c>
      <c r="E97" s="199">
        <f t="shared" si="11"/>
        <v>4032650.919476985</v>
      </c>
      <c r="F97" s="199">
        <f t="shared" si="11"/>
        <v>4540432.6692719134</v>
      </c>
      <c r="G97" s="199">
        <f t="shared" si="11"/>
        <v>3925842.1163043575</v>
      </c>
      <c r="H97" s="199">
        <f t="shared" si="12"/>
        <v>3823190.3707833989</v>
      </c>
      <c r="I97" s="199">
        <f t="shared" si="12"/>
        <v>2117321.5934104617</v>
      </c>
      <c r="J97" s="199">
        <f t="shared" si="12"/>
        <v>2912522.7426617537</v>
      </c>
      <c r="K97" s="199">
        <f t="shared" si="12"/>
        <v>2928653.7312436188</v>
      </c>
      <c r="L97" s="199">
        <f t="shared" si="12"/>
        <v>3251273.5028809174</v>
      </c>
      <c r="M97" s="199">
        <f t="shared" si="12"/>
        <v>3320196.8177307034</v>
      </c>
      <c r="N97" s="143"/>
      <c r="O97" s="143"/>
      <c r="P97" s="143"/>
      <c r="Q97" s="143"/>
      <c r="R97" s="143"/>
      <c r="S97" s="143"/>
      <c r="T97" s="143"/>
    </row>
    <row r="98" spans="1:20" x14ac:dyDescent="0.2">
      <c r="A98" s="143"/>
      <c r="B98" s="216">
        <v>106</v>
      </c>
      <c r="C98" s="199">
        <f t="shared" si="11"/>
        <v>4724156.1710311053</v>
      </c>
      <c r="D98" s="199">
        <f t="shared" si="11"/>
        <v>4691393.1571598239</v>
      </c>
      <c r="E98" s="199">
        <f t="shared" si="11"/>
        <v>5222062.0385784265</v>
      </c>
      <c r="F98" s="199">
        <f t="shared" si="11"/>
        <v>5570537.7541066464</v>
      </c>
      <c r="G98" s="199">
        <f t="shared" si="11"/>
        <v>5360278.0676454604</v>
      </c>
      <c r="H98" s="199">
        <f>H77-H32+H11</f>
        <v>5431169.0450435663</v>
      </c>
      <c r="I98" s="199">
        <f t="shared" si="12"/>
        <v>3195670.3332181382</v>
      </c>
      <c r="J98" s="199">
        <f t="shared" si="12"/>
        <v>5194624.661276415</v>
      </c>
      <c r="K98" s="199">
        <f t="shared" si="12"/>
        <v>5097692.1003443105</v>
      </c>
      <c r="L98" s="199">
        <f t="shared" si="12"/>
        <v>5261898.7520725774</v>
      </c>
      <c r="M98" s="199">
        <f t="shared" si="12"/>
        <v>5346533.8985580727</v>
      </c>
      <c r="N98" s="143"/>
      <c r="O98" s="143"/>
      <c r="P98" s="143"/>
      <c r="Q98" s="143"/>
      <c r="R98" s="143"/>
      <c r="S98" s="143"/>
      <c r="T98" s="143"/>
    </row>
    <row r="99" spans="1:20" x14ac:dyDescent="0.2">
      <c r="A99" s="143"/>
      <c r="B99" s="216">
        <v>107</v>
      </c>
      <c r="C99" s="199">
        <f t="shared" si="11"/>
        <v>2326586.7687447476</v>
      </c>
      <c r="D99" s="199">
        <f t="shared" si="11"/>
        <v>2523535.1994237099</v>
      </c>
      <c r="E99" s="199">
        <f t="shared" si="11"/>
        <v>962373.07744183496</v>
      </c>
      <c r="F99" s="199">
        <f t="shared" si="11"/>
        <v>1509387.5210114622</v>
      </c>
      <c r="G99" s="199">
        <f t="shared" si="11"/>
        <v>2083710.9887174838</v>
      </c>
      <c r="H99" s="199">
        <f t="shared" si="11"/>
        <v>3783351.1133217905</v>
      </c>
      <c r="I99" s="199">
        <f t="shared" si="11"/>
        <v>2278679.9210622185</v>
      </c>
      <c r="J99" s="199">
        <f t="shared" si="11"/>
        <v>2934267.1143816374</v>
      </c>
      <c r="K99" s="199">
        <f t="shared" si="11"/>
        <v>4208500.605994164</v>
      </c>
      <c r="L99" s="199">
        <f t="shared" si="11"/>
        <v>1660033.6227691101</v>
      </c>
      <c r="M99" s="199">
        <f t="shared" si="11"/>
        <v>1660033.6227691101</v>
      </c>
      <c r="N99" s="143"/>
      <c r="O99" s="143"/>
      <c r="P99" s="143"/>
      <c r="Q99" s="143"/>
      <c r="R99" s="143"/>
      <c r="S99" s="143"/>
      <c r="T99" s="143"/>
    </row>
    <row r="100" spans="1:20" x14ac:dyDescent="0.2">
      <c r="A100" s="143"/>
      <c r="B100" s="216">
        <v>108</v>
      </c>
      <c r="C100" s="199">
        <f t="shared" si="11"/>
        <v>0</v>
      </c>
      <c r="D100" s="199">
        <f t="shared" si="11"/>
        <v>0</v>
      </c>
      <c r="E100" s="199">
        <f t="shared" si="11"/>
        <v>0</v>
      </c>
      <c r="F100" s="199">
        <f t="shared" si="11"/>
        <v>0</v>
      </c>
      <c r="G100" s="199">
        <f t="shared" si="11"/>
        <v>0</v>
      </c>
      <c r="H100" s="199">
        <f t="shared" si="11"/>
        <v>0</v>
      </c>
      <c r="I100" s="199">
        <f t="shared" si="11"/>
        <v>0</v>
      </c>
      <c r="J100" s="199">
        <f t="shared" si="11"/>
        <v>0</v>
      </c>
      <c r="K100" s="199">
        <f t="shared" si="11"/>
        <v>0</v>
      </c>
      <c r="L100" s="199">
        <f t="shared" si="11"/>
        <v>0</v>
      </c>
      <c r="M100" s="199">
        <f t="shared" si="11"/>
        <v>0</v>
      </c>
      <c r="N100" s="143"/>
      <c r="O100" s="143"/>
      <c r="P100" s="143"/>
      <c r="Q100" s="143"/>
      <c r="R100" s="143"/>
      <c r="S100" s="143"/>
      <c r="T100" s="143"/>
    </row>
    <row r="101" spans="1:20" x14ac:dyDescent="0.2">
      <c r="A101" s="143"/>
      <c r="B101" s="216">
        <v>109</v>
      </c>
      <c r="C101" s="199">
        <f t="shared" si="11"/>
        <v>2237148.1245101751</v>
      </c>
      <c r="D101" s="199">
        <f t="shared" si="11"/>
        <v>4782737.9077771083</v>
      </c>
      <c r="E101" s="199">
        <f t="shared" si="11"/>
        <v>5091478.4061199557</v>
      </c>
      <c r="F101" s="199">
        <f t="shared" si="11"/>
        <v>5709623.8227225477</v>
      </c>
      <c r="G101" s="199">
        <f t="shared" si="11"/>
        <v>5236637.6875242693</v>
      </c>
      <c r="H101" s="199">
        <f t="shared" si="11"/>
        <v>5042441.8271283982</v>
      </c>
      <c r="I101" s="199">
        <f t="shared" si="11"/>
        <v>2985766.959513112</v>
      </c>
      <c r="J101" s="199">
        <f>J80-J35+J14</f>
        <v>5297822.6846352974</v>
      </c>
      <c r="K101" s="199">
        <f t="shared" si="11"/>
        <v>5386939.9630361423</v>
      </c>
      <c r="L101" s="199">
        <f t="shared" si="11"/>
        <v>5416202.3529588077</v>
      </c>
      <c r="M101" s="199">
        <f t="shared" si="11"/>
        <v>5448790.0144635942</v>
      </c>
      <c r="N101" s="143"/>
      <c r="O101" s="143"/>
      <c r="P101" s="143"/>
      <c r="Q101" s="143"/>
      <c r="R101" s="143"/>
      <c r="S101" s="143"/>
      <c r="T101" s="143"/>
    </row>
    <row r="102" spans="1:20" x14ac:dyDescent="0.2">
      <c r="A102" s="143"/>
      <c r="B102" s="216">
        <v>110</v>
      </c>
      <c r="C102" s="199">
        <f t="shared" si="11"/>
        <v>0</v>
      </c>
      <c r="D102" s="199">
        <f t="shared" si="11"/>
        <v>0</v>
      </c>
      <c r="E102" s="199">
        <f t="shared" si="11"/>
        <v>0</v>
      </c>
      <c r="F102" s="199">
        <f t="shared" si="11"/>
        <v>0</v>
      </c>
      <c r="G102" s="199">
        <f t="shared" si="11"/>
        <v>0</v>
      </c>
      <c r="H102" s="199">
        <f t="shared" si="11"/>
        <v>0</v>
      </c>
      <c r="I102" s="199">
        <f t="shared" si="11"/>
        <v>0</v>
      </c>
      <c r="J102" s="199">
        <f t="shared" si="11"/>
        <v>0</v>
      </c>
      <c r="K102" s="199">
        <f t="shared" si="11"/>
        <v>0</v>
      </c>
      <c r="L102" s="199">
        <f t="shared" si="11"/>
        <v>0</v>
      </c>
      <c r="M102" s="199">
        <f t="shared" si="11"/>
        <v>0</v>
      </c>
      <c r="N102" s="143"/>
      <c r="O102" s="143"/>
      <c r="P102" s="143"/>
      <c r="Q102" s="143"/>
      <c r="R102" s="143"/>
      <c r="S102" s="143"/>
      <c r="T102" s="143"/>
    </row>
    <row r="103" spans="1:20" x14ac:dyDescent="0.2">
      <c r="A103" s="143"/>
      <c r="B103" s="216">
        <v>111</v>
      </c>
      <c r="C103" s="199">
        <f t="shared" si="11"/>
        <v>6014020.2377690366</v>
      </c>
      <c r="D103" s="199">
        <f t="shared" si="11"/>
        <v>7260811.408434066</v>
      </c>
      <c r="E103" s="199">
        <f t="shared" si="11"/>
        <v>10048685.062739057</v>
      </c>
      <c r="F103" s="199">
        <f t="shared" si="11"/>
        <v>11641695.228990413</v>
      </c>
      <c r="G103" s="199">
        <f t="shared" si="11"/>
        <v>9586164.5335408039</v>
      </c>
      <c r="H103" s="199">
        <f t="shared" si="11"/>
        <v>8851592.6470426582</v>
      </c>
      <c r="I103" s="199">
        <f t="shared" si="11"/>
        <v>4842372.6452768641</v>
      </c>
      <c r="J103" s="199">
        <f t="shared" si="11"/>
        <v>8055041.2576212306</v>
      </c>
      <c r="K103" s="199">
        <f t="shared" si="11"/>
        <v>8757475.6240850836</v>
      </c>
      <c r="L103" s="199">
        <f t="shared" si="11"/>
        <v>9183680.3540636953</v>
      </c>
      <c r="M103" s="199">
        <f t="shared" si="11"/>
        <v>9269380.4074884783</v>
      </c>
      <c r="N103" s="143"/>
      <c r="O103" s="143"/>
      <c r="P103" s="143"/>
      <c r="Q103" s="143"/>
      <c r="R103" s="143"/>
      <c r="S103" s="143"/>
      <c r="T103" s="143"/>
    </row>
    <row r="104" spans="1:20" x14ac:dyDescent="0.2">
      <c r="A104" s="143"/>
      <c r="B104" s="216">
        <v>114</v>
      </c>
      <c r="C104" s="199">
        <f t="shared" si="11"/>
        <v>0</v>
      </c>
      <c r="D104" s="199">
        <f t="shared" si="11"/>
        <v>0</v>
      </c>
      <c r="E104" s="199">
        <f t="shared" si="11"/>
        <v>0</v>
      </c>
      <c r="F104" s="199">
        <f t="shared" si="11"/>
        <v>0</v>
      </c>
      <c r="G104" s="199">
        <f t="shared" si="11"/>
        <v>0</v>
      </c>
      <c r="H104" s="199">
        <f t="shared" si="11"/>
        <v>0</v>
      </c>
      <c r="I104" s="199">
        <f t="shared" si="11"/>
        <v>0</v>
      </c>
      <c r="J104" s="199">
        <f t="shared" si="11"/>
        <v>0</v>
      </c>
      <c r="K104" s="199">
        <f t="shared" si="11"/>
        <v>0</v>
      </c>
      <c r="L104" s="199">
        <f t="shared" si="11"/>
        <v>0</v>
      </c>
      <c r="M104" s="199">
        <f t="shared" si="11"/>
        <v>0</v>
      </c>
      <c r="N104" s="143"/>
      <c r="O104" s="143"/>
      <c r="P104" s="143"/>
      <c r="Q104" s="143"/>
      <c r="R104" s="143"/>
      <c r="S104" s="143"/>
      <c r="T104" s="143"/>
    </row>
    <row r="105" spans="1:20" x14ac:dyDescent="0.2">
      <c r="A105" s="143"/>
      <c r="B105" s="216">
        <v>115</v>
      </c>
      <c r="C105" s="199">
        <f t="shared" si="11"/>
        <v>0</v>
      </c>
      <c r="D105" s="199">
        <f t="shared" si="11"/>
        <v>0</v>
      </c>
      <c r="E105" s="199">
        <f t="shared" si="11"/>
        <v>0</v>
      </c>
      <c r="F105" s="199">
        <f t="shared" si="11"/>
        <v>0</v>
      </c>
      <c r="G105" s="199">
        <f t="shared" si="11"/>
        <v>0</v>
      </c>
      <c r="H105" s="199">
        <f t="shared" si="11"/>
        <v>0</v>
      </c>
      <c r="I105" s="199">
        <f t="shared" si="11"/>
        <v>0</v>
      </c>
      <c r="J105" s="199">
        <f t="shared" si="11"/>
        <v>0</v>
      </c>
      <c r="K105" s="199">
        <f t="shared" si="11"/>
        <v>0</v>
      </c>
      <c r="L105" s="199">
        <f t="shared" si="11"/>
        <v>0</v>
      </c>
      <c r="M105" s="199">
        <f t="shared" si="11"/>
        <v>0</v>
      </c>
      <c r="N105" s="143"/>
      <c r="O105" s="143"/>
      <c r="P105" s="143"/>
      <c r="Q105" s="143"/>
      <c r="R105" s="143"/>
      <c r="S105" s="143"/>
      <c r="T105" s="143"/>
    </row>
    <row r="106" spans="1:20" x14ac:dyDescent="0.2">
      <c r="A106" s="143"/>
      <c r="B106" s="216">
        <v>116</v>
      </c>
      <c r="C106" s="199">
        <f t="shared" si="11"/>
        <v>21114461.037314162</v>
      </c>
      <c r="D106" s="199">
        <f t="shared" si="11"/>
        <v>25614740.323025111</v>
      </c>
      <c r="E106" s="199">
        <f t="shared" si="11"/>
        <v>25591670.63765179</v>
      </c>
      <c r="F106" s="199">
        <f t="shared" si="11"/>
        <v>24249327.502189521</v>
      </c>
      <c r="G106" s="199">
        <f t="shared" si="11"/>
        <v>38213315.649498455</v>
      </c>
      <c r="H106" s="199">
        <f t="shared" si="11"/>
        <v>33168436.06195794</v>
      </c>
      <c r="I106" s="199">
        <f t="shared" si="11"/>
        <v>21781449.220049068</v>
      </c>
      <c r="J106" s="199">
        <f t="shared" si="11"/>
        <v>35179317.264400125</v>
      </c>
      <c r="K106" s="199">
        <f t="shared" si="11"/>
        <v>25429217.119378828</v>
      </c>
      <c r="L106" s="199">
        <f t="shared" si="11"/>
        <v>25597919.066830955</v>
      </c>
      <c r="M106" s="199">
        <f t="shared" si="11"/>
        <v>25671267.739636227</v>
      </c>
      <c r="N106" s="143"/>
      <c r="O106" s="143"/>
      <c r="P106" s="143"/>
      <c r="Q106" s="143"/>
      <c r="R106" s="143"/>
      <c r="S106" s="143"/>
      <c r="T106" s="143"/>
    </row>
    <row r="107" spans="1:20" x14ac:dyDescent="0.2">
      <c r="A107" s="143"/>
      <c r="B107" s="216">
        <v>118</v>
      </c>
      <c r="C107" s="199">
        <f t="shared" si="11"/>
        <v>103266.14389422168</v>
      </c>
      <c r="D107" s="199">
        <f t="shared" si="11"/>
        <v>69208.432076392346</v>
      </c>
      <c r="E107" s="199">
        <f t="shared" si="11"/>
        <v>62195.109732331752</v>
      </c>
      <c r="F107" s="199">
        <f t="shared" si="11"/>
        <v>18253.564055826344</v>
      </c>
      <c r="G107" s="199">
        <f t="shared" si="11"/>
        <v>29470.2190710959</v>
      </c>
      <c r="H107" s="199">
        <f t="shared" si="11"/>
        <v>29470.2190710959</v>
      </c>
      <c r="I107" s="199">
        <f t="shared" si="11"/>
        <v>17074.047868409431</v>
      </c>
      <c r="J107" s="199">
        <f t="shared" si="11"/>
        <v>29470.2190710959</v>
      </c>
      <c r="K107" s="199">
        <f t="shared" si="11"/>
        <v>29470.2190710959</v>
      </c>
      <c r="L107" s="199">
        <f t="shared" si="11"/>
        <v>29470.2190710959</v>
      </c>
      <c r="M107" s="199">
        <f t="shared" si="11"/>
        <v>29470.2190710959</v>
      </c>
      <c r="N107" s="143"/>
      <c r="O107" s="143"/>
      <c r="P107" s="143"/>
      <c r="Q107" s="143"/>
      <c r="R107" s="143"/>
      <c r="S107" s="143"/>
      <c r="T107" s="143"/>
    </row>
    <row r="108" spans="1:20" x14ac:dyDescent="0.2">
      <c r="A108" s="143"/>
      <c r="B108" s="134" t="s">
        <v>36</v>
      </c>
      <c r="C108" s="184">
        <f t="shared" ref="C108:M108" si="13">SUM(C95:C107)</f>
        <v>39375664.838301867</v>
      </c>
      <c r="D108" s="184">
        <f t="shared" si="13"/>
        <v>49523580.697577819</v>
      </c>
      <c r="E108" s="184">
        <f t="shared" si="13"/>
        <v>52775044.297952726</v>
      </c>
      <c r="F108" s="184">
        <f t="shared" si="13"/>
        <v>55390740.690763652</v>
      </c>
      <c r="G108" s="184">
        <f t="shared" si="13"/>
        <v>65860195.277159914</v>
      </c>
      <c r="H108" s="184">
        <f t="shared" si="13"/>
        <v>61502121.079410456</v>
      </c>
      <c r="I108" s="184">
        <f t="shared" si="13"/>
        <v>38030828.942055456</v>
      </c>
      <c r="J108" s="184">
        <f t="shared" si="13"/>
        <v>61044322.000759199</v>
      </c>
      <c r="K108" s="184">
        <f t="shared" si="13"/>
        <v>53303208.959086515</v>
      </c>
      <c r="L108" s="184">
        <f t="shared" si="13"/>
        <v>51873619.225727826</v>
      </c>
      <c r="M108" s="184">
        <f t="shared" si="13"/>
        <v>52227591.488393918</v>
      </c>
      <c r="N108" s="143"/>
      <c r="O108" s="143"/>
      <c r="P108" s="143"/>
      <c r="Q108" s="143"/>
      <c r="R108" s="143"/>
      <c r="S108" s="143"/>
      <c r="T108" s="143"/>
    </row>
    <row r="109" spans="1:20" x14ac:dyDescent="0.2">
      <c r="A109" s="143"/>
      <c r="B109" s="143" t="s">
        <v>231</v>
      </c>
      <c r="C109" s="198">
        <f>C21-C42+C87-C108</f>
        <v>0</v>
      </c>
      <c r="D109" s="198">
        <f t="shared" ref="D109:M109" si="14">D21-D42+D87-D108</f>
        <v>0</v>
      </c>
      <c r="E109" s="198">
        <f t="shared" si="14"/>
        <v>0</v>
      </c>
      <c r="F109" s="198">
        <f t="shared" si="14"/>
        <v>0</v>
      </c>
      <c r="G109" s="198">
        <f t="shared" si="14"/>
        <v>0</v>
      </c>
      <c r="H109" s="198">
        <f t="shared" si="14"/>
        <v>0</v>
      </c>
      <c r="I109" s="198">
        <f t="shared" si="14"/>
        <v>0</v>
      </c>
      <c r="J109" s="198">
        <f t="shared" si="14"/>
        <v>0</v>
      </c>
      <c r="K109" s="198">
        <f t="shared" si="14"/>
        <v>0</v>
      </c>
      <c r="L109" s="198">
        <f t="shared" si="14"/>
        <v>0</v>
      </c>
      <c r="M109" s="198">
        <f t="shared" si="14"/>
        <v>0</v>
      </c>
      <c r="N109" s="143"/>
      <c r="O109" s="143"/>
      <c r="P109" s="143"/>
      <c r="Q109" s="143"/>
      <c r="R109" s="143"/>
      <c r="S109" s="143"/>
      <c r="T109" s="143"/>
    </row>
    <row r="110" spans="1:20" x14ac:dyDescent="0.2">
      <c r="A110" s="143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</row>
    <row r="111" spans="1:20" ht="15.75" x14ac:dyDescent="0.25">
      <c r="A111" s="28"/>
      <c r="B111" s="28" t="s">
        <v>307</v>
      </c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1:20" x14ac:dyDescent="0.2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</row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</sheetData>
  <mergeCells count="7">
    <mergeCell ref="C93:M93"/>
    <mergeCell ref="C6:M6"/>
    <mergeCell ref="C27:M27"/>
    <mergeCell ref="B45:M45"/>
    <mergeCell ref="C50:M50"/>
    <mergeCell ref="B67:M67"/>
    <mergeCell ref="C72:M72"/>
  </mergeCells>
  <hyperlinks>
    <hyperlink ref="M1" location="Menu!A1" display="Menu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9">
    <tabColor theme="1"/>
  </sheetPr>
  <dimension ref="A1:R54"/>
  <sheetViews>
    <sheetView zoomScale="75" zoomScaleNormal="75" workbookViewId="0"/>
  </sheetViews>
  <sheetFormatPr defaultColWidth="0" defaultRowHeight="12.75" zeroHeight="1" x14ac:dyDescent="0.2"/>
  <cols>
    <col min="1" max="1" width="3.7109375" customWidth="1"/>
    <col min="2" max="2" width="15.85546875" customWidth="1"/>
    <col min="3" max="3" width="81.5703125" customWidth="1"/>
    <col min="4" max="4" width="9.140625" customWidth="1"/>
    <col min="5" max="15" width="13.140625" customWidth="1"/>
    <col min="16" max="16" width="3.7109375" style="162" customWidth="1"/>
    <col min="17" max="17" width="3.7109375" hidden="1" customWidth="1"/>
    <col min="18" max="16384" width="9.140625" hidden="1"/>
  </cols>
  <sheetData>
    <row r="1" spans="1:18" ht="18" x14ac:dyDescent="0.25">
      <c r="A1" s="26" t="str">
        <f>Menu!A1</f>
        <v>CitiPower - Connections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30" t="s">
        <v>39</v>
      </c>
      <c r="P1" s="26"/>
      <c r="Q1" s="26"/>
      <c r="R1" s="26"/>
    </row>
    <row r="2" spans="1:18" ht="15.75" x14ac:dyDescent="0.25">
      <c r="A2" s="196" t="str">
        <f ca="1">RIGHT(CELL("filename", $A$1), LEN(CELL("filename", $A$1)) - SEARCH("]", CELL("filename", $A$1)))</f>
        <v>Expenditure &amp; Volume Output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38" t="s">
        <v>82</v>
      </c>
      <c r="O2" s="195" t="str">
        <f ca="1">IF(SUM(E23:P23,E43:P43)=0,"OK","Check!")</f>
        <v>OK</v>
      </c>
      <c r="P2" s="28"/>
      <c r="Q2" s="28"/>
      <c r="R2" s="28"/>
    </row>
    <row r="3" spans="1:18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43"/>
      <c r="Q3" s="4"/>
      <c r="R3" s="4"/>
    </row>
    <row r="4" spans="1:18" x14ac:dyDescent="0.2">
      <c r="A4" s="4"/>
      <c r="B4" s="34" t="s">
        <v>274</v>
      </c>
      <c r="C4" s="7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43"/>
      <c r="Q4" s="4"/>
      <c r="R4" s="4"/>
    </row>
    <row r="5" spans="1:18" x14ac:dyDescent="0.2">
      <c r="A5" s="4"/>
      <c r="B5" s="48"/>
      <c r="C5" s="4"/>
      <c r="D5" s="4"/>
      <c r="E5" s="298" t="s">
        <v>340</v>
      </c>
      <c r="F5" s="298"/>
      <c r="G5" s="298"/>
      <c r="H5" s="298"/>
      <c r="I5" s="298"/>
      <c r="J5" s="298"/>
      <c r="K5" s="298"/>
      <c r="L5" s="298"/>
      <c r="M5" s="298"/>
      <c r="N5" s="298"/>
      <c r="O5" s="282"/>
      <c r="P5" s="143"/>
      <c r="Q5" s="4"/>
      <c r="R5" s="4"/>
    </row>
    <row r="6" spans="1:18" ht="25.5" customHeight="1" x14ac:dyDescent="0.2">
      <c r="A6" s="4"/>
      <c r="B6" s="81" t="s">
        <v>32</v>
      </c>
      <c r="C6" s="85" t="s">
        <v>33</v>
      </c>
      <c r="D6" s="82" t="s">
        <v>81</v>
      </c>
      <c r="E6" s="3" t="s">
        <v>325</v>
      </c>
      <c r="F6" s="3" t="s">
        <v>326</v>
      </c>
      <c r="G6" s="3" t="s">
        <v>327</v>
      </c>
      <c r="H6" s="163" t="s">
        <v>328</v>
      </c>
      <c r="I6" s="163" t="s">
        <v>312</v>
      </c>
      <c r="J6" s="163" t="s">
        <v>313</v>
      </c>
      <c r="K6" s="163" t="s">
        <v>314</v>
      </c>
      <c r="L6" s="163" t="s">
        <v>315</v>
      </c>
      <c r="M6" s="163" t="s">
        <v>316</v>
      </c>
      <c r="N6" s="163" t="s">
        <v>317</v>
      </c>
      <c r="O6" s="163" t="s">
        <v>318</v>
      </c>
      <c r="P6" s="143"/>
      <c r="Q6" s="4"/>
      <c r="R6" s="4"/>
    </row>
    <row r="7" spans="1:18" x14ac:dyDescent="0.2">
      <c r="A7" s="4"/>
      <c r="B7" s="301" t="s">
        <v>44</v>
      </c>
      <c r="C7" s="83" t="s">
        <v>199</v>
      </c>
      <c r="D7" s="87" t="s">
        <v>46</v>
      </c>
      <c r="E7" s="185">
        <f>'Historical Expenditure-Volumes'!D52*Inflation!H$10</f>
        <v>878347.03288007539</v>
      </c>
      <c r="F7" s="185">
        <f>'Historical Expenditure-Volumes'!E52*Inflation!I$10</f>
        <v>0</v>
      </c>
      <c r="G7" s="185">
        <f>'Historical Expenditure-Volumes'!F52*Inflation!J$10</f>
        <v>0</v>
      </c>
      <c r="H7" s="185">
        <f>'Historical Expenditure-Volumes'!G52*Inflation!K$10</f>
        <v>0</v>
      </c>
      <c r="I7" s="185">
        <f ca="1">'Forecast Expenditure-Volumes'!S154</f>
        <v>0</v>
      </c>
      <c r="J7" s="185">
        <f ca="1">'Forecast Expenditure-Volumes'!T154</f>
        <v>0</v>
      </c>
      <c r="K7" s="185">
        <f ca="1">'Forecast Expenditure-Volumes'!U154</f>
        <v>0</v>
      </c>
      <c r="L7" s="185">
        <f ca="1">'Forecast Expenditure-Volumes'!V154</f>
        <v>0</v>
      </c>
      <c r="M7" s="185">
        <f ca="1">'Forecast Expenditure-Volumes'!W154</f>
        <v>0</v>
      </c>
      <c r="N7" s="185">
        <f ca="1">'Forecast Expenditure-Volumes'!X154</f>
        <v>0</v>
      </c>
      <c r="O7" s="185">
        <f ca="1">'Forecast Expenditure-Volumes'!Y154</f>
        <v>0</v>
      </c>
      <c r="P7" s="143"/>
      <c r="Q7" s="4"/>
      <c r="R7" s="4"/>
    </row>
    <row r="8" spans="1:18" x14ac:dyDescent="0.2">
      <c r="A8" s="4"/>
      <c r="B8" s="301"/>
      <c r="C8" s="83" t="s">
        <v>200</v>
      </c>
      <c r="D8" s="87" t="s">
        <v>48</v>
      </c>
      <c r="E8" s="185">
        <f>'Historical Expenditure-Volumes'!D53*Inflation!H$10</f>
        <v>10284698.605408404</v>
      </c>
      <c r="F8" s="185">
        <f>'Historical Expenditure-Volumes'!E53*Inflation!I$10</f>
        <v>13464557.719069768</v>
      </c>
      <c r="G8" s="185">
        <f>'Historical Expenditure-Volumes'!F53*Inflation!J$10</f>
        <v>15434392.327808471</v>
      </c>
      <c r="H8" s="185">
        <f>'Historical Expenditure-Volumes'!G53*Inflation!K$10</f>
        <v>18068713.684422947</v>
      </c>
      <c r="I8" s="185">
        <f ca="1">'Forecast Expenditure-Volumes'!S155</f>
        <v>15203557.030731935</v>
      </c>
      <c r="J8" s="185">
        <f ca="1">'Forecast Expenditure-Volumes'!T155</f>
        <v>14794423.766881078</v>
      </c>
      <c r="K8" s="185">
        <f ca="1">'Forecast Expenditure-Volumes'!U155</f>
        <v>11493734.496342812</v>
      </c>
      <c r="L8" s="185">
        <f ca="1">'Forecast Expenditure-Volumes'!V155</f>
        <v>13827869.725486329</v>
      </c>
      <c r="M8" s="185">
        <f ca="1">'Forecast Expenditure-Volumes'!W155</f>
        <v>13949078.160051949</v>
      </c>
      <c r="N8" s="185">
        <f ca="1">'Forecast Expenditure-Volumes'!X155</f>
        <v>14501190.943718741</v>
      </c>
      <c r="O8" s="185">
        <f ca="1">'Forecast Expenditure-Volumes'!Y155</f>
        <v>14676906.049703786</v>
      </c>
      <c r="P8" s="143"/>
      <c r="Q8" s="4"/>
      <c r="R8" s="4"/>
    </row>
    <row r="9" spans="1:18" x14ac:dyDescent="0.2">
      <c r="A9" s="4"/>
      <c r="B9" s="301"/>
      <c r="C9" s="83" t="s">
        <v>201</v>
      </c>
      <c r="D9" s="87" t="s">
        <v>50</v>
      </c>
      <c r="E9" s="185">
        <f>'Historical Expenditure-Volumes'!D54*Inflation!H$10</f>
        <v>22380752.654685549</v>
      </c>
      <c r="F9" s="185">
        <f>'Historical Expenditure-Volumes'!E54*Inflation!I$10</f>
        <v>19183476.91627907</v>
      </c>
      <c r="G9" s="185">
        <f>'Historical Expenditure-Volumes'!F54*Inflation!J$10</f>
        <v>21871201.984346226</v>
      </c>
      <c r="H9" s="185">
        <f>'Historical Expenditure-Volumes'!G54*Inflation!K$10</f>
        <v>25288947.821176995</v>
      </c>
      <c r="I9" s="185">
        <f ca="1">'Forecast Expenditure-Volumes'!S156</f>
        <v>22087715.591934972</v>
      </c>
      <c r="J9" s="185">
        <f ca="1">'Forecast Expenditure-Volumes'!T156</f>
        <v>20870808.464812905</v>
      </c>
      <c r="K9" s="185">
        <f ca="1">'Forecast Expenditure-Volumes'!U156</f>
        <v>20081142.34399756</v>
      </c>
      <c r="L9" s="185">
        <f ca="1">'Forecast Expenditure-Volumes'!V156</f>
        <v>19162385.62429519</v>
      </c>
      <c r="M9" s="185">
        <f ca="1">'Forecast Expenditure-Volumes'!W156</f>
        <v>20289183.757326573</v>
      </c>
      <c r="N9" s="185">
        <f ca="1">'Forecast Expenditure-Volumes'!X156</f>
        <v>21225862.648542777</v>
      </c>
      <c r="O9" s="185">
        <f ca="1">'Forecast Expenditure-Volumes'!Y156</f>
        <v>21466431.951760445</v>
      </c>
      <c r="P9" s="143"/>
      <c r="Q9" s="4"/>
      <c r="R9" s="4"/>
    </row>
    <row r="10" spans="1:18" x14ac:dyDescent="0.2">
      <c r="A10" s="4"/>
      <c r="B10" s="300" t="s">
        <v>177</v>
      </c>
      <c r="C10" s="84" t="s">
        <v>199</v>
      </c>
      <c r="D10" s="88" t="s">
        <v>51</v>
      </c>
      <c r="E10" s="185">
        <f>'Historical Expenditure-Volumes'!D55*Inflation!H$10</f>
        <v>2129195.4434617562</v>
      </c>
      <c r="F10" s="185">
        <f>'Historical Expenditure-Volumes'!E55*Inflation!I$10</f>
        <v>1826886.1311627908</v>
      </c>
      <c r="G10" s="185">
        <f>'Historical Expenditure-Volumes'!F55*Inflation!J$10</f>
        <v>2116805.0211786372</v>
      </c>
      <c r="H10" s="185">
        <f>'Historical Expenditure-Volumes'!G55*Inflation!K$10</f>
        <v>2449061.5585791548</v>
      </c>
      <c r="I10" s="185">
        <f ca="1">'Forecast Expenditure-Volumes'!S157</f>
        <v>2030153.1067237156</v>
      </c>
      <c r="J10" s="185">
        <f ca="1">'Forecast Expenditure-Volumes'!T157</f>
        <v>1990634.1558425399</v>
      </c>
      <c r="K10" s="185">
        <f ca="1">'Forecast Expenditure-Volumes'!U157</f>
        <v>1766399.1266015384</v>
      </c>
      <c r="L10" s="185">
        <f ca="1">'Forecast Expenditure-Volumes'!V157</f>
        <v>1739068.3071650662</v>
      </c>
      <c r="M10" s="185">
        <f ca="1">'Forecast Expenditure-Volumes'!W157</f>
        <v>1742718.6263956232</v>
      </c>
      <c r="N10" s="185">
        <f ca="1">'Forecast Expenditure-Volumes'!X157</f>
        <v>1849960.1670696456</v>
      </c>
      <c r="O10" s="185">
        <f ca="1">'Forecast Expenditure-Volumes'!Y157</f>
        <v>1879766.6254223748</v>
      </c>
      <c r="P10" s="143"/>
      <c r="Q10" s="4"/>
      <c r="R10" s="4"/>
    </row>
    <row r="11" spans="1:18" x14ac:dyDescent="0.2">
      <c r="A11" s="4"/>
      <c r="B11" s="300"/>
      <c r="C11" s="84" t="s">
        <v>202</v>
      </c>
      <c r="D11" s="88" t="s">
        <v>53</v>
      </c>
      <c r="E11" s="185">
        <f>'Historical Expenditure-Volumes'!D56*Inflation!H$10</f>
        <v>0</v>
      </c>
      <c r="F11" s="185">
        <f>'Historical Expenditure-Volumes'!E56*Inflation!I$10</f>
        <v>0</v>
      </c>
      <c r="G11" s="185">
        <f>'Historical Expenditure-Volumes'!F56*Inflation!J$10</f>
        <v>0</v>
      </c>
      <c r="H11" s="185">
        <f>'Historical Expenditure-Volumes'!G56*Inflation!K$10</f>
        <v>0</v>
      </c>
      <c r="I11" s="185">
        <f ca="1">'Forecast Expenditure-Volumes'!S158</f>
        <v>0</v>
      </c>
      <c r="J11" s="185">
        <f ca="1">'Forecast Expenditure-Volumes'!T158</f>
        <v>0</v>
      </c>
      <c r="K11" s="185">
        <f ca="1">'Forecast Expenditure-Volumes'!U158</f>
        <v>0</v>
      </c>
      <c r="L11" s="185">
        <f ca="1">'Forecast Expenditure-Volumes'!V158</f>
        <v>0</v>
      </c>
      <c r="M11" s="185">
        <f ca="1">'Forecast Expenditure-Volumes'!W158</f>
        <v>0</v>
      </c>
      <c r="N11" s="185">
        <f ca="1">'Forecast Expenditure-Volumes'!X158</f>
        <v>0</v>
      </c>
      <c r="O11" s="185">
        <f ca="1">'Forecast Expenditure-Volumes'!Y158</f>
        <v>0</v>
      </c>
      <c r="P11" s="143"/>
      <c r="Q11" s="4"/>
      <c r="R11" s="4"/>
    </row>
    <row r="12" spans="1:18" x14ac:dyDescent="0.2">
      <c r="A12" s="4"/>
      <c r="B12" s="300"/>
      <c r="C12" s="84" t="s">
        <v>203</v>
      </c>
      <c r="D12" s="88" t="s">
        <v>55</v>
      </c>
      <c r="E12" s="185">
        <f>'Historical Expenditure-Volumes'!D57*Inflation!H$10</f>
        <v>9398020.0802592058</v>
      </c>
      <c r="F12" s="185">
        <f>'Historical Expenditure-Volumes'!E57*Inflation!I$10</f>
        <v>8137687.5934883729</v>
      </c>
      <c r="G12" s="185">
        <f>'Historical Expenditure-Volumes'!F57*Inflation!J$10</f>
        <v>9274901.0331491716</v>
      </c>
      <c r="H12" s="185">
        <f>'Historical Expenditure-Volumes'!G57*Inflation!K$10</f>
        <v>10723078.045666257</v>
      </c>
      <c r="I12" s="185">
        <f ca="1">'Forecast Expenditure-Volumes'!S159</f>
        <v>9331564.7539973725</v>
      </c>
      <c r="J12" s="185">
        <f ca="1">'Forecast Expenditure-Volumes'!T159</f>
        <v>8799978.0247203037</v>
      </c>
      <c r="K12" s="185">
        <f ca="1">'Forecast Expenditure-Volumes'!U159</f>
        <v>8447106.6886845138</v>
      </c>
      <c r="L12" s="185">
        <f ca="1">'Forecast Expenditure-Volumes'!V159</f>
        <v>8035044.7182316491</v>
      </c>
      <c r="M12" s="185">
        <f ca="1">'Forecast Expenditure-Volumes'!W159</f>
        <v>8525134.3242556881</v>
      </c>
      <c r="N12" s="185">
        <f ca="1">'Forecast Expenditure-Volumes'!X159</f>
        <v>8932926.4014523588</v>
      </c>
      <c r="O12" s="185">
        <f ca="1">'Forecast Expenditure-Volumes'!Y159</f>
        <v>9034153.5639134888</v>
      </c>
      <c r="P12" s="143"/>
      <c r="Q12" s="4"/>
      <c r="R12" s="4"/>
    </row>
    <row r="13" spans="1:18" x14ac:dyDescent="0.2">
      <c r="A13" s="4"/>
      <c r="B13" s="300"/>
      <c r="C13" s="84" t="s">
        <v>204</v>
      </c>
      <c r="D13" s="88" t="s">
        <v>57</v>
      </c>
      <c r="E13" s="185">
        <f>'Historical Expenditure-Volumes'!D58*Inflation!H$10</f>
        <v>3130443.0434560901</v>
      </c>
      <c r="F13" s="185">
        <f>'Historical Expenditure-Volumes'!E58*Inflation!I$10</f>
        <v>3500728.7553488375</v>
      </c>
      <c r="G13" s="185">
        <f>'Historical Expenditure-Volumes'!F58*Inflation!J$10</f>
        <v>2031751.6500920812</v>
      </c>
      <c r="H13" s="185">
        <f>'Historical Expenditure-Volumes'!G58*Inflation!K$10</f>
        <v>2922475.2002105257</v>
      </c>
      <c r="I13" s="185">
        <f ca="1">'Forecast Expenditure-Volumes'!S160</f>
        <v>3632899.0485023484</v>
      </c>
      <c r="J13" s="185">
        <f ca="1">'Forecast Expenditure-Volumes'!T160</f>
        <v>6596179.9568935139</v>
      </c>
      <c r="K13" s="185">
        <f ca="1">'Forecast Expenditure-Volumes'!U160</f>
        <v>3972822.604426322</v>
      </c>
      <c r="L13" s="185">
        <f ca="1">'Forecast Expenditure-Volumes'!V160</f>
        <v>5115822.811132703</v>
      </c>
      <c r="M13" s="185">
        <f ca="1">'Forecast Expenditure-Volumes'!W160</f>
        <v>7337417.6792857982</v>
      </c>
      <c r="N13" s="185">
        <f ca="1">'Forecast Expenditure-Volumes'!X160</f>
        <v>2894227.9429796073</v>
      </c>
      <c r="O13" s="185">
        <f ca="1">'Forecast Expenditure-Volumes'!Y160</f>
        <v>2894227.9429796073</v>
      </c>
      <c r="P13" s="143"/>
      <c r="Q13" s="4"/>
      <c r="R13" s="4"/>
    </row>
    <row r="14" spans="1:18" x14ac:dyDescent="0.2">
      <c r="A14" s="4"/>
      <c r="B14" s="300"/>
      <c r="C14" s="84" t="s">
        <v>205</v>
      </c>
      <c r="D14" s="88" t="s">
        <v>59</v>
      </c>
      <c r="E14" s="185">
        <f>'Historical Expenditure-Volumes'!D59*Inflation!H$10</f>
        <v>0</v>
      </c>
      <c r="F14" s="185">
        <f>'Historical Expenditure-Volumes'!E59*Inflation!I$10</f>
        <v>0</v>
      </c>
      <c r="G14" s="185">
        <f>'Historical Expenditure-Volumes'!F59*Inflation!J$10</f>
        <v>0</v>
      </c>
      <c r="H14" s="185">
        <f>'Historical Expenditure-Volumes'!G59*Inflation!K$10</f>
        <v>0</v>
      </c>
      <c r="I14" s="185">
        <f ca="1">'Forecast Expenditure-Volumes'!S161</f>
        <v>0</v>
      </c>
      <c r="J14" s="185">
        <f ca="1">'Forecast Expenditure-Volumes'!T161</f>
        <v>0</v>
      </c>
      <c r="K14" s="185">
        <f ca="1">'Forecast Expenditure-Volumes'!U161</f>
        <v>0</v>
      </c>
      <c r="L14" s="185">
        <f ca="1">'Forecast Expenditure-Volumes'!V161</f>
        <v>0</v>
      </c>
      <c r="M14" s="185">
        <f ca="1">'Forecast Expenditure-Volumes'!W161</f>
        <v>0</v>
      </c>
      <c r="N14" s="185">
        <f ca="1">'Forecast Expenditure-Volumes'!X161</f>
        <v>0</v>
      </c>
      <c r="O14" s="185">
        <f ca="1">'Forecast Expenditure-Volumes'!Y161</f>
        <v>0</v>
      </c>
      <c r="P14" s="143"/>
      <c r="Q14" s="4"/>
      <c r="R14" s="4"/>
    </row>
    <row r="15" spans="1:18" x14ac:dyDescent="0.2">
      <c r="A15" s="4"/>
      <c r="B15" s="301" t="s">
        <v>60</v>
      </c>
      <c r="C15" s="83" t="s">
        <v>200</v>
      </c>
      <c r="D15" s="87" t="s">
        <v>61</v>
      </c>
      <c r="E15" s="185">
        <f>'Historical Expenditure-Volumes'!D60*Inflation!H$10</f>
        <v>0</v>
      </c>
      <c r="F15" s="185">
        <f>'Historical Expenditure-Volumes'!E60*Inflation!I$10</f>
        <v>0</v>
      </c>
      <c r="G15" s="185">
        <f>'Historical Expenditure-Volumes'!F60*Inflation!J$10</f>
        <v>0</v>
      </c>
      <c r="H15" s="185">
        <f>'Historical Expenditure-Volumes'!G60*Inflation!K$10</f>
        <v>0</v>
      </c>
      <c r="I15" s="185">
        <f ca="1">'Forecast Expenditure-Volumes'!S162</f>
        <v>0</v>
      </c>
      <c r="J15" s="185">
        <f ca="1">'Forecast Expenditure-Volumes'!T162</f>
        <v>0</v>
      </c>
      <c r="K15" s="185">
        <f ca="1">'Forecast Expenditure-Volumes'!U162</f>
        <v>0</v>
      </c>
      <c r="L15" s="185">
        <f ca="1">'Forecast Expenditure-Volumes'!V162</f>
        <v>0</v>
      </c>
      <c r="M15" s="185">
        <f ca="1">'Forecast Expenditure-Volumes'!W162</f>
        <v>0</v>
      </c>
      <c r="N15" s="185">
        <f ca="1">'Forecast Expenditure-Volumes'!X162</f>
        <v>0</v>
      </c>
      <c r="O15" s="185">
        <f ca="1">'Forecast Expenditure-Volumes'!Y162</f>
        <v>0</v>
      </c>
      <c r="P15" s="143"/>
      <c r="Q15" s="4"/>
      <c r="R15" s="4"/>
    </row>
    <row r="16" spans="1:18" x14ac:dyDescent="0.2">
      <c r="A16" s="4"/>
      <c r="B16" s="301"/>
      <c r="C16" s="83" t="s">
        <v>210</v>
      </c>
      <c r="D16" s="87" t="s">
        <v>63</v>
      </c>
      <c r="E16" s="185">
        <f>'Historical Expenditure-Volumes'!D61*Inflation!H$10</f>
        <v>0</v>
      </c>
      <c r="F16" s="185">
        <f>'Historical Expenditure-Volumes'!E61*Inflation!I$10</f>
        <v>0</v>
      </c>
      <c r="G16" s="185">
        <f>'Historical Expenditure-Volumes'!F61*Inflation!J$10</f>
        <v>0</v>
      </c>
      <c r="H16" s="185">
        <f>'Historical Expenditure-Volumes'!G61*Inflation!K$10</f>
        <v>0</v>
      </c>
      <c r="I16" s="185">
        <f ca="1">'Forecast Expenditure-Volumes'!S163</f>
        <v>0</v>
      </c>
      <c r="J16" s="185">
        <f ca="1">'Forecast Expenditure-Volumes'!T163</f>
        <v>0</v>
      </c>
      <c r="K16" s="185">
        <f ca="1">'Forecast Expenditure-Volumes'!U163</f>
        <v>0</v>
      </c>
      <c r="L16" s="185">
        <f ca="1">'Forecast Expenditure-Volumes'!V163</f>
        <v>0</v>
      </c>
      <c r="M16" s="185">
        <f ca="1">'Forecast Expenditure-Volumes'!W163</f>
        <v>0</v>
      </c>
      <c r="N16" s="185">
        <f ca="1">'Forecast Expenditure-Volumes'!X163</f>
        <v>0</v>
      </c>
      <c r="O16" s="185">
        <f ca="1">'Forecast Expenditure-Volumes'!Y163</f>
        <v>0</v>
      </c>
      <c r="P16" s="143"/>
      <c r="Q16" s="4"/>
      <c r="R16" s="4"/>
    </row>
    <row r="17" spans="1:18" x14ac:dyDescent="0.2">
      <c r="A17" s="4"/>
      <c r="B17" s="301"/>
      <c r="C17" s="83" t="s">
        <v>207</v>
      </c>
      <c r="D17" s="87" t="s">
        <v>65</v>
      </c>
      <c r="E17" s="185">
        <f>'Historical Expenditure-Volumes'!D62*Inflation!H$10</f>
        <v>0</v>
      </c>
      <c r="F17" s="185">
        <f>'Historical Expenditure-Volumes'!E62*Inflation!I$10</f>
        <v>0</v>
      </c>
      <c r="G17" s="185">
        <f>'Historical Expenditure-Volumes'!F62*Inflation!J$10</f>
        <v>0</v>
      </c>
      <c r="H17" s="185">
        <f>'Historical Expenditure-Volumes'!G62*Inflation!K$10</f>
        <v>6795.4746702800376</v>
      </c>
      <c r="I17" s="185">
        <f ca="1">'Forecast Expenditure-Volumes'!S164</f>
        <v>39333.206179909212</v>
      </c>
      <c r="J17" s="185">
        <f ca="1">'Forecast Expenditure-Volumes'!T164</f>
        <v>39333.206179909212</v>
      </c>
      <c r="K17" s="185">
        <f ca="1">'Forecast Expenditure-Volumes'!U164</f>
        <v>22788.32890633187</v>
      </c>
      <c r="L17" s="185">
        <f ca="1">'Forecast Expenditure-Volumes'!V164</f>
        <v>39333.206179909212</v>
      </c>
      <c r="M17" s="185">
        <f ca="1">'Forecast Expenditure-Volumes'!W164</f>
        <v>39333.206179909212</v>
      </c>
      <c r="N17" s="185">
        <f ca="1">'Forecast Expenditure-Volumes'!X164</f>
        <v>39333.206179909212</v>
      </c>
      <c r="O17" s="185">
        <f ca="1">'Forecast Expenditure-Volumes'!Y164</f>
        <v>39333.206179909212</v>
      </c>
      <c r="P17" s="143"/>
      <c r="Q17" s="4"/>
      <c r="R17" s="4"/>
    </row>
    <row r="18" spans="1:18" x14ac:dyDescent="0.2">
      <c r="A18" s="4"/>
      <c r="B18" s="299" t="s">
        <v>66</v>
      </c>
      <c r="C18" s="84" t="s">
        <v>211</v>
      </c>
      <c r="D18" s="89" t="s">
        <v>67</v>
      </c>
      <c r="E18" s="185">
        <f>'Historical Expenditure-Volumes'!D63*Inflation!H$10</f>
        <v>0</v>
      </c>
      <c r="F18" s="185">
        <f>'Historical Expenditure-Volumes'!E63*Inflation!I$10</f>
        <v>0</v>
      </c>
      <c r="G18" s="185">
        <f>'Historical Expenditure-Volumes'!F63*Inflation!J$10</f>
        <v>0</v>
      </c>
      <c r="H18" s="185">
        <f>'Historical Expenditure-Volumes'!G63*Inflation!K$10</f>
        <v>0</v>
      </c>
      <c r="I18" s="185">
        <f ca="1">'Forecast Expenditure-Volumes'!S165</f>
        <v>0</v>
      </c>
      <c r="J18" s="185">
        <f ca="1">'Forecast Expenditure-Volumes'!T165</f>
        <v>0</v>
      </c>
      <c r="K18" s="185">
        <f ca="1">'Forecast Expenditure-Volumes'!U165</f>
        <v>0</v>
      </c>
      <c r="L18" s="185">
        <f ca="1">'Forecast Expenditure-Volumes'!V165</f>
        <v>0</v>
      </c>
      <c r="M18" s="185">
        <f ca="1">'Forecast Expenditure-Volumes'!W165</f>
        <v>0</v>
      </c>
      <c r="N18" s="185">
        <f ca="1">'Forecast Expenditure-Volumes'!X165</f>
        <v>0</v>
      </c>
      <c r="O18" s="185">
        <f ca="1">'Forecast Expenditure-Volumes'!Y165</f>
        <v>0</v>
      </c>
      <c r="P18" s="143"/>
      <c r="Q18" s="4"/>
      <c r="R18" s="4"/>
    </row>
    <row r="19" spans="1:18" x14ac:dyDescent="0.2">
      <c r="A19" s="4"/>
      <c r="B19" s="299"/>
      <c r="C19" s="84" t="s">
        <v>212</v>
      </c>
      <c r="D19" s="89" t="s">
        <v>69</v>
      </c>
      <c r="E19" s="185">
        <f>'Historical Expenditure-Volumes'!D64*Inflation!H$10</f>
        <v>47574.480009442865</v>
      </c>
      <c r="F19" s="185">
        <f>'Historical Expenditure-Volumes'!E64*Inflation!I$10</f>
        <v>33639.089302325585</v>
      </c>
      <c r="G19" s="185">
        <f>'Historical Expenditure-Volumes'!F64*Inflation!J$10</f>
        <v>21859.723756906078</v>
      </c>
      <c r="H19" s="185">
        <f>'Historical Expenditure-Volumes'!G64*Inflation!K$10</f>
        <v>7645.5990969869927</v>
      </c>
      <c r="I19" s="185">
        <f ca="1">'Forecast Expenditure-Volumes'!S166</f>
        <v>28870.382753719612</v>
      </c>
      <c r="J19" s="185">
        <f ca="1">'Forecast Expenditure-Volumes'!T166</f>
        <v>28870.382753719612</v>
      </c>
      <c r="K19" s="185">
        <f ca="1">'Forecast Expenditure-Volumes'!U166</f>
        <v>16726.523000291359</v>
      </c>
      <c r="L19" s="185">
        <f ca="1">'Forecast Expenditure-Volumes'!V166</f>
        <v>28870.382753719612</v>
      </c>
      <c r="M19" s="185">
        <f ca="1">'Forecast Expenditure-Volumes'!W166</f>
        <v>28870.382753719612</v>
      </c>
      <c r="N19" s="185">
        <f ca="1">'Forecast Expenditure-Volumes'!X166</f>
        <v>28870.382753719612</v>
      </c>
      <c r="O19" s="185">
        <f ca="1">'Forecast Expenditure-Volumes'!Y166</f>
        <v>28870.382753719612</v>
      </c>
      <c r="P19" s="143"/>
      <c r="Q19" s="4"/>
      <c r="R19" s="4"/>
    </row>
    <row r="20" spans="1:18" x14ac:dyDescent="0.2">
      <c r="A20" s="4"/>
      <c r="B20" s="299"/>
      <c r="C20" s="84" t="s">
        <v>213</v>
      </c>
      <c r="D20" s="89" t="s">
        <v>71</v>
      </c>
      <c r="E20" s="185">
        <f>'Historical Expenditure-Volumes'!D65*Inflation!H$10</f>
        <v>0</v>
      </c>
      <c r="F20" s="185">
        <f>'Historical Expenditure-Volumes'!E65*Inflation!I$10</f>
        <v>0</v>
      </c>
      <c r="G20" s="185">
        <f>'Historical Expenditure-Volumes'!F65*Inflation!J$10</f>
        <v>0</v>
      </c>
      <c r="H20" s="185">
        <f>'Historical Expenditure-Volumes'!G65*Inflation!K$10</f>
        <v>0</v>
      </c>
      <c r="I20" s="185">
        <f ca="1">'Forecast Expenditure-Volumes'!S167</f>
        <v>0</v>
      </c>
      <c r="J20" s="185">
        <f ca="1">'Forecast Expenditure-Volumes'!T167</f>
        <v>0</v>
      </c>
      <c r="K20" s="185">
        <f ca="1">'Forecast Expenditure-Volumes'!U167</f>
        <v>0</v>
      </c>
      <c r="L20" s="185">
        <f ca="1">'Forecast Expenditure-Volumes'!V167</f>
        <v>0</v>
      </c>
      <c r="M20" s="185">
        <f ca="1">'Forecast Expenditure-Volumes'!W167</f>
        <v>0</v>
      </c>
      <c r="N20" s="185">
        <f ca="1">'Forecast Expenditure-Volumes'!X167</f>
        <v>0</v>
      </c>
      <c r="O20" s="185">
        <f ca="1">'Forecast Expenditure-Volumes'!Y167</f>
        <v>0</v>
      </c>
      <c r="P20" s="143"/>
      <c r="Q20" s="4"/>
      <c r="R20" s="4"/>
    </row>
    <row r="21" spans="1:18" s="162" customFormat="1" x14ac:dyDescent="0.2">
      <c r="A21" s="143"/>
      <c r="B21" s="166" t="s">
        <v>304</v>
      </c>
      <c r="C21" s="165" t="s">
        <v>305</v>
      </c>
      <c r="D21" s="89"/>
      <c r="E21" s="185">
        <f>'Historical Expenditure-Volumes'!D74*Inflation!H$10</f>
        <v>17486026.921775255</v>
      </c>
      <c r="F21" s="185">
        <f>'Historical Expenditure-Volumes'!E74*Inflation!I$10</f>
        <v>23497723.990251161</v>
      </c>
      <c r="G21" s="185">
        <f>'Historical Expenditure-Volumes'!F74*Inflation!J$10</f>
        <v>26158466.370920811</v>
      </c>
      <c r="H21" s="185">
        <f>'Historical Expenditure-Volumes'!G74*Inflation!K$10</f>
        <v>25822969.680028953</v>
      </c>
      <c r="I21" s="185">
        <f ca="1">'Forecast Expenditure-Volumes'!G103</f>
        <v>38666075.516518235</v>
      </c>
      <c r="J21" s="185">
        <f ca="1">'Forecast Expenditure-Volumes'!H103</f>
        <v>33436897.70182927</v>
      </c>
      <c r="K21" s="185">
        <f ca="1">'Forecast Expenditure-Volumes'!I103</f>
        <v>32407878.49624043</v>
      </c>
      <c r="L21" s="185">
        <f ca="1">'Forecast Expenditure-Volumes'!J103</f>
        <v>35526856.7329382</v>
      </c>
      <c r="M21" s="185">
        <f ca="1">'Forecast Expenditure-Volumes'!K103</f>
        <v>25411809.178524233</v>
      </c>
      <c r="N21" s="185">
        <f ca="1">'Forecast Expenditure-Volumes'!L103</f>
        <v>25587590.114195231</v>
      </c>
      <c r="O21" s="185">
        <f ca="1">'Forecast Expenditure-Volumes'!M103</f>
        <v>25664016.607965227</v>
      </c>
      <c r="P21" s="143"/>
      <c r="Q21" s="143"/>
      <c r="R21" s="143"/>
    </row>
    <row r="22" spans="1:18" x14ac:dyDescent="0.2">
      <c r="A22" s="4"/>
      <c r="B22" s="4"/>
      <c r="C22" s="4"/>
      <c r="D22" s="74" t="s">
        <v>36</v>
      </c>
      <c r="E22" s="192">
        <f t="shared" ref="E22:O22" si="0">SUM(E7:E21)</f>
        <v>65735058.261935785</v>
      </c>
      <c r="F22" s="192">
        <f t="shared" si="0"/>
        <v>69644700.194902331</v>
      </c>
      <c r="G22" s="192">
        <f t="shared" si="0"/>
        <v>76909378.111252308</v>
      </c>
      <c r="H22" s="192">
        <f t="shared" si="0"/>
        <v>85289687.063852102</v>
      </c>
      <c r="I22" s="192">
        <f ca="1">SUM(I7:I21)</f>
        <v>91020168.637342215</v>
      </c>
      <c r="J22" s="192">
        <f t="shared" ca="1" si="0"/>
        <v>86557125.659913242</v>
      </c>
      <c r="K22" s="192">
        <f t="shared" ca="1" si="0"/>
        <v>78208598.608199805</v>
      </c>
      <c r="L22" s="192">
        <f t="shared" ca="1" si="0"/>
        <v>83475251.508182764</v>
      </c>
      <c r="M22" s="192">
        <f t="shared" ca="1" si="0"/>
        <v>77323545.3147735</v>
      </c>
      <c r="N22" s="192">
        <f t="shared" ca="1" si="0"/>
        <v>75059961.806891978</v>
      </c>
      <c r="O22" s="192">
        <f t="shared" ca="1" si="0"/>
        <v>75683706.330678552</v>
      </c>
      <c r="P22" s="143"/>
      <c r="Q22" s="4"/>
      <c r="R22" s="4"/>
    </row>
    <row r="23" spans="1:18" x14ac:dyDescent="0.2">
      <c r="A23" s="4"/>
      <c r="B23" s="4"/>
      <c r="C23" s="4"/>
      <c r="D23" s="4"/>
      <c r="E23" s="186">
        <f>E22-'Historical Expenditure-Volumes'!D23*Inflation!H$10</f>
        <v>0</v>
      </c>
      <c r="F23" s="186">
        <f>F22-'Historical Expenditure-Volumes'!E23*Inflation!I$10</f>
        <v>0</v>
      </c>
      <c r="G23" s="186">
        <f>G22-'Historical Expenditure-Volumes'!F23*Inflation!J$10</f>
        <v>0</v>
      </c>
      <c r="H23" s="186">
        <f>H22-'Historical Expenditure-Volumes'!G23*Inflation!K$10</f>
        <v>0</v>
      </c>
      <c r="I23" s="186">
        <f ca="1">I22-'Forecast Expenditure-Volumes'!G105</f>
        <v>0</v>
      </c>
      <c r="J23" s="186">
        <f ca="1">J22-'Forecast Expenditure-Volumes'!H105</f>
        <v>0</v>
      </c>
      <c r="K23" s="186">
        <f ca="1">K22-'Forecast Expenditure-Volumes'!I105</f>
        <v>0</v>
      </c>
      <c r="L23" s="186">
        <f ca="1">L22-'Forecast Expenditure-Volumes'!J105</f>
        <v>0</v>
      </c>
      <c r="M23" s="186">
        <f ca="1">M22-'Forecast Expenditure-Volumes'!K105</f>
        <v>0</v>
      </c>
      <c r="N23" s="186">
        <f ca="1">N22-'Forecast Expenditure-Volumes'!L105</f>
        <v>0</v>
      </c>
      <c r="O23" s="186">
        <f ca="1">O22-'Forecast Expenditure-Volumes'!M105</f>
        <v>0</v>
      </c>
      <c r="P23" s="143"/>
      <c r="Q23" s="4"/>
      <c r="R23" s="4"/>
    </row>
    <row r="24" spans="1:18" x14ac:dyDescent="0.2">
      <c r="A24" s="4"/>
      <c r="B24" s="34" t="s">
        <v>214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43"/>
      <c r="Q24" s="4"/>
      <c r="R24" s="4"/>
    </row>
    <row r="25" spans="1:18" x14ac:dyDescent="0.2">
      <c r="A25" s="4"/>
      <c r="B25" s="48"/>
      <c r="C25" s="4"/>
      <c r="D25" s="4"/>
      <c r="E25" s="280" t="s">
        <v>192</v>
      </c>
      <c r="F25" s="298"/>
      <c r="G25" s="298"/>
      <c r="H25" s="298"/>
      <c r="I25" s="298"/>
      <c r="J25" s="298"/>
      <c r="K25" s="298"/>
      <c r="L25" s="298"/>
      <c r="M25" s="298"/>
      <c r="N25" s="298"/>
      <c r="O25" s="282"/>
      <c r="P25" s="143"/>
      <c r="Q25" s="4"/>
      <c r="R25" s="4"/>
    </row>
    <row r="26" spans="1:18" ht="25.5" customHeight="1" x14ac:dyDescent="0.2">
      <c r="A26" s="4"/>
      <c r="B26" s="81" t="s">
        <v>32</v>
      </c>
      <c r="C26" s="85" t="s">
        <v>33</v>
      </c>
      <c r="D26" s="80" t="s">
        <v>81</v>
      </c>
      <c r="E26" s="3" t="s">
        <v>325</v>
      </c>
      <c r="F26" s="3" t="s">
        <v>326</v>
      </c>
      <c r="G26" s="3" t="s">
        <v>327</v>
      </c>
      <c r="H26" s="163" t="s">
        <v>328</v>
      </c>
      <c r="I26" s="163" t="s">
        <v>312</v>
      </c>
      <c r="J26" s="163" t="s">
        <v>313</v>
      </c>
      <c r="K26" s="163" t="s">
        <v>314</v>
      </c>
      <c r="L26" s="163" t="s">
        <v>315</v>
      </c>
      <c r="M26" s="163" t="s">
        <v>316</v>
      </c>
      <c r="N26" s="163" t="s">
        <v>317</v>
      </c>
      <c r="O26" s="163" t="s">
        <v>318</v>
      </c>
      <c r="P26" s="143"/>
      <c r="Q26" s="4"/>
      <c r="R26" s="4"/>
    </row>
    <row r="27" spans="1:18" x14ac:dyDescent="0.2">
      <c r="A27" s="4"/>
      <c r="B27" s="301" t="s">
        <v>44</v>
      </c>
      <c r="C27" s="83" t="s">
        <v>199</v>
      </c>
      <c r="D27" s="55" t="s">
        <v>46</v>
      </c>
      <c r="E27" s="185">
        <f>'Historical Expenditure-Volumes'!D111</f>
        <v>1668.5</v>
      </c>
      <c r="F27" s="185">
        <f>'Historical Expenditure-Volumes'!E111</f>
        <v>0</v>
      </c>
      <c r="G27" s="185">
        <f>'Historical Expenditure-Volumes'!F111</f>
        <v>0</v>
      </c>
      <c r="H27" s="185">
        <f>'Historical Expenditure-Volumes'!G111</f>
        <v>0</v>
      </c>
      <c r="I27" s="185">
        <f>'Forecast Expenditure-Volumes'!S28</f>
        <v>0</v>
      </c>
      <c r="J27" s="185">
        <f>'Forecast Expenditure-Volumes'!T28</f>
        <v>0</v>
      </c>
      <c r="K27" s="185">
        <f>'Forecast Expenditure-Volumes'!U28</f>
        <v>0</v>
      </c>
      <c r="L27" s="185">
        <f>'Forecast Expenditure-Volumes'!V28</f>
        <v>0</v>
      </c>
      <c r="M27" s="185">
        <f>'Forecast Expenditure-Volumes'!W28</f>
        <v>0</v>
      </c>
      <c r="N27" s="185">
        <f>'Forecast Expenditure-Volumes'!X28</f>
        <v>0</v>
      </c>
      <c r="O27" s="185">
        <f>'Forecast Expenditure-Volumes'!Y28</f>
        <v>0</v>
      </c>
      <c r="P27" s="143"/>
      <c r="Q27" s="4"/>
      <c r="R27" s="4"/>
    </row>
    <row r="28" spans="1:18" x14ac:dyDescent="0.2">
      <c r="A28" s="4"/>
      <c r="B28" s="301"/>
      <c r="C28" s="83" t="s">
        <v>200</v>
      </c>
      <c r="D28" s="55" t="s">
        <v>48</v>
      </c>
      <c r="E28" s="185">
        <f>'Historical Expenditure-Volumes'!D112</f>
        <v>322</v>
      </c>
      <c r="F28" s="185">
        <f>'Historical Expenditure-Volumes'!E112</f>
        <v>575.5</v>
      </c>
      <c r="G28" s="185">
        <f>'Historical Expenditure-Volumes'!F112</f>
        <v>695</v>
      </c>
      <c r="H28" s="185">
        <f>'Historical Expenditure-Volumes'!G112</f>
        <v>1005.3275068967764</v>
      </c>
      <c r="I28" s="185">
        <f>'Forecast Expenditure-Volumes'!S29</f>
        <v>742.61911864343449</v>
      </c>
      <c r="J28" s="185">
        <f>'Forecast Expenditure-Volumes'!T29</f>
        <v>716.72963324342732</v>
      </c>
      <c r="K28" s="185">
        <f>'Forecast Expenditure-Volumes'!U29</f>
        <v>726.390214983536</v>
      </c>
      <c r="L28" s="185">
        <f>'Forecast Expenditure-Volumes'!V29</f>
        <v>725.34726153171187</v>
      </c>
      <c r="M28" s="185">
        <f>'Forecast Expenditure-Volumes'!W29</f>
        <v>736.32749728790293</v>
      </c>
      <c r="N28" s="185">
        <f>'Forecast Expenditure-Volumes'!X29</f>
        <v>748.02316652666991</v>
      </c>
      <c r="O28" s="185">
        <f>'Forecast Expenditure-Volumes'!Y29</f>
        <v>753.84380146644526</v>
      </c>
      <c r="P28" s="143"/>
      <c r="Q28" s="4"/>
      <c r="R28" s="4"/>
    </row>
    <row r="29" spans="1:18" x14ac:dyDescent="0.2">
      <c r="A29" s="4"/>
      <c r="B29" s="301"/>
      <c r="C29" s="83" t="s">
        <v>201</v>
      </c>
      <c r="D29" s="55" t="s">
        <v>50</v>
      </c>
      <c r="E29" s="185">
        <f>'Historical Expenditure-Volumes'!D113</f>
        <v>69.5</v>
      </c>
      <c r="F29" s="185">
        <f>'Historical Expenditure-Volumes'!E113</f>
        <v>64</v>
      </c>
      <c r="G29" s="185">
        <f>'Historical Expenditure-Volumes'!F113</f>
        <v>136</v>
      </c>
      <c r="H29" s="185">
        <f>'Historical Expenditure-Volumes'!G113</f>
        <v>200.5925715170664</v>
      </c>
      <c r="I29" s="185">
        <f>'Forecast Expenditure-Volumes'!S30</f>
        <v>117.2793928792666</v>
      </c>
      <c r="J29" s="185">
        <f>'Forecast Expenditure-Volumes'!T30</f>
        <v>111.70467812560611</v>
      </c>
      <c r="K29" s="185">
        <f>'Forecast Expenditure-Volumes'!U30</f>
        <v>108.04892660106445</v>
      </c>
      <c r="L29" s="185">
        <f>'Forecast Expenditure-Volumes'!V30</f>
        <v>102.27159089204997</v>
      </c>
      <c r="M29" s="185">
        <f>'Forecast Expenditure-Volumes'!W30</f>
        <v>107.27506411024615</v>
      </c>
      <c r="N29" s="185">
        <f>'Forecast Expenditure-Volumes'!X30</f>
        <v>112.31251224449633</v>
      </c>
      <c r="O29" s="185">
        <f>'Forecast Expenditure-Volumes'!Y30</f>
        <v>113.67939655329891</v>
      </c>
      <c r="P29" s="143"/>
      <c r="Q29" s="4"/>
      <c r="R29" s="4"/>
    </row>
    <row r="30" spans="1:18" x14ac:dyDescent="0.2">
      <c r="A30" s="4"/>
      <c r="B30" s="300" t="s">
        <v>177</v>
      </c>
      <c r="C30" s="84" t="s">
        <v>199</v>
      </c>
      <c r="D30" s="56" t="s">
        <v>51</v>
      </c>
      <c r="E30" s="185">
        <f>'Historical Expenditure-Volumes'!D114</f>
        <v>683.5</v>
      </c>
      <c r="F30" s="185">
        <f>'Historical Expenditure-Volumes'!E114</f>
        <v>22</v>
      </c>
      <c r="G30" s="185">
        <f>'Historical Expenditure-Volumes'!F114</f>
        <v>31</v>
      </c>
      <c r="H30" s="185">
        <f>'Historical Expenditure-Volumes'!G114</f>
        <v>39.912970594951609</v>
      </c>
      <c r="I30" s="185">
        <f>'Forecast Expenditure-Volumes'!S31</f>
        <v>27.771992648737903</v>
      </c>
      <c r="J30" s="185">
        <f>'Forecast Expenditure-Volumes'!T31</f>
        <v>27.104449626967313</v>
      </c>
      <c r="K30" s="185">
        <f>'Forecast Expenditure-Volumes'!U31</f>
        <v>26.472336285937011</v>
      </c>
      <c r="L30" s="185">
        <f>'Forecast Expenditure-Volumes'!V31</f>
        <v>22.879008414980699</v>
      </c>
      <c r="M30" s="185">
        <f>'Forecast Expenditure-Volumes'!W31</f>
        <v>22.997352834308451</v>
      </c>
      <c r="N30" s="185">
        <f>'Forecast Expenditure-Volumes'!X31</f>
        <v>24.678250983929686</v>
      </c>
      <c r="O30" s="185">
        <f>'Forecast Expenditure-Volumes'!Y31</f>
        <v>25.09731907745244</v>
      </c>
      <c r="P30" s="143"/>
      <c r="Q30" s="4"/>
      <c r="R30" s="4"/>
    </row>
    <row r="31" spans="1:18" x14ac:dyDescent="0.2">
      <c r="A31" s="4"/>
      <c r="B31" s="300"/>
      <c r="C31" s="84" t="s">
        <v>202</v>
      </c>
      <c r="D31" s="56" t="s">
        <v>53</v>
      </c>
      <c r="E31" s="185">
        <f>'Historical Expenditure-Volumes'!D115</f>
        <v>0</v>
      </c>
      <c r="F31" s="185">
        <f>'Historical Expenditure-Volumes'!E115</f>
        <v>0</v>
      </c>
      <c r="G31" s="185">
        <f>'Historical Expenditure-Volumes'!F115</f>
        <v>0</v>
      </c>
      <c r="H31" s="185">
        <f>'Historical Expenditure-Volumes'!G115</f>
        <v>0</v>
      </c>
      <c r="I31" s="185">
        <f>'Forecast Expenditure-Volumes'!S32</f>
        <v>0</v>
      </c>
      <c r="J31" s="185">
        <f>'Forecast Expenditure-Volumes'!T32</f>
        <v>0</v>
      </c>
      <c r="K31" s="185">
        <f>'Forecast Expenditure-Volumes'!U32</f>
        <v>0</v>
      </c>
      <c r="L31" s="185">
        <f>'Forecast Expenditure-Volumes'!V32</f>
        <v>0</v>
      </c>
      <c r="M31" s="185">
        <f>'Forecast Expenditure-Volumes'!W32</f>
        <v>0</v>
      </c>
      <c r="N31" s="185">
        <f>'Forecast Expenditure-Volumes'!X32</f>
        <v>0</v>
      </c>
      <c r="O31" s="185">
        <f>'Forecast Expenditure-Volumes'!Y32</f>
        <v>0</v>
      </c>
      <c r="P31" s="143"/>
      <c r="Q31" s="4"/>
      <c r="R31" s="4"/>
    </row>
    <row r="32" spans="1:18" x14ac:dyDescent="0.2">
      <c r="A32" s="4"/>
      <c r="B32" s="300"/>
      <c r="C32" s="84" t="s">
        <v>203</v>
      </c>
      <c r="D32" s="56" t="s">
        <v>55</v>
      </c>
      <c r="E32" s="185">
        <f>'Historical Expenditure-Volumes'!D116</f>
        <v>29.5</v>
      </c>
      <c r="F32" s="185">
        <f>'Historical Expenditure-Volumes'!E116</f>
        <v>28</v>
      </c>
      <c r="G32" s="185">
        <f>'Historical Expenditure-Volumes'!F116</f>
        <v>60</v>
      </c>
      <c r="H32" s="185">
        <f>'Historical Expenditure-Volumes'!G116</f>
        <v>89.151891312394582</v>
      </c>
      <c r="I32" s="185">
        <f>'Forecast Expenditure-Volumes'!S33</f>
        <v>51.537972828098646</v>
      </c>
      <c r="J32" s="185">
        <f>'Forecast Expenditure-Volumes'!T33</f>
        <v>49.024033399668134</v>
      </c>
      <c r="K32" s="185">
        <f>'Forecast Expenditure-Volumes'!U33</f>
        <v>47.266207504994846</v>
      </c>
      <c r="L32" s="185">
        <f>'Forecast Expenditure-Volumes'!V33</f>
        <v>44.252670649347962</v>
      </c>
      <c r="M32" s="185">
        <f>'Forecast Expenditure-Volumes'!W33</f>
        <v>46.454128089030327</v>
      </c>
      <c r="N32" s="185">
        <f>'Forecast Expenditure-Volumes'!X33</f>
        <v>48.836007811133385</v>
      </c>
      <c r="O32" s="185">
        <f>'Forecast Expenditure-Volumes'!Y33</f>
        <v>49.447787837304304</v>
      </c>
      <c r="P32" s="143"/>
      <c r="Q32" s="4"/>
      <c r="R32" s="4"/>
    </row>
    <row r="33" spans="1:18" x14ac:dyDescent="0.2">
      <c r="A33" s="4"/>
      <c r="B33" s="300"/>
      <c r="C33" s="84" t="s">
        <v>204</v>
      </c>
      <c r="D33" s="56" t="s">
        <v>57</v>
      </c>
      <c r="E33" s="185">
        <f>'Historical Expenditure-Volumes'!D117</f>
        <v>2</v>
      </c>
      <c r="F33" s="185">
        <f>'Historical Expenditure-Volumes'!E117</f>
        <v>3</v>
      </c>
      <c r="G33" s="185">
        <f>'Historical Expenditure-Volumes'!F117</f>
        <v>2.5</v>
      </c>
      <c r="H33" s="185">
        <f>'Historical Expenditure-Volumes'!G117</f>
        <v>4.065809573851352</v>
      </c>
      <c r="I33" s="193">
        <f>'Forecast Expenditure-Volumes'!S34</f>
        <v>2.891452393462838</v>
      </c>
      <c r="J33" s="193">
        <f>'Forecast Expenditure-Volumes'!T34</f>
        <v>2.891452393462838</v>
      </c>
      <c r="K33" s="193">
        <f>'Forecast Expenditure-Volumes'!U34</f>
        <v>2.891452393462838</v>
      </c>
      <c r="L33" s="193">
        <f>'Forecast Expenditure-Volumes'!V34</f>
        <v>2.891452393462838</v>
      </c>
      <c r="M33" s="193">
        <f>'Forecast Expenditure-Volumes'!W34</f>
        <v>2.891452393462838</v>
      </c>
      <c r="N33" s="193">
        <f>'Forecast Expenditure-Volumes'!X34</f>
        <v>2.891452393462838</v>
      </c>
      <c r="O33" s="193">
        <f>'Forecast Expenditure-Volumes'!Y34</f>
        <v>2.891452393462838</v>
      </c>
      <c r="P33" s="143"/>
      <c r="Q33" s="4"/>
      <c r="R33" s="4"/>
    </row>
    <row r="34" spans="1:18" x14ac:dyDescent="0.2">
      <c r="A34" s="4"/>
      <c r="B34" s="300"/>
      <c r="C34" s="84" t="s">
        <v>205</v>
      </c>
      <c r="D34" s="56" t="s">
        <v>59</v>
      </c>
      <c r="E34" s="185">
        <f>'Historical Expenditure-Volumes'!D118</f>
        <v>0</v>
      </c>
      <c r="F34" s="185">
        <f>'Historical Expenditure-Volumes'!E118</f>
        <v>0</v>
      </c>
      <c r="G34" s="185">
        <f>'Historical Expenditure-Volumes'!F118</f>
        <v>0</v>
      </c>
      <c r="H34" s="185">
        <f>'Historical Expenditure-Volumes'!G118</f>
        <v>0</v>
      </c>
      <c r="I34" s="194">
        <f>'Forecast Expenditure-Volumes'!S35</f>
        <v>0</v>
      </c>
      <c r="J34" s="194">
        <f>'Forecast Expenditure-Volumes'!T35</f>
        <v>0</v>
      </c>
      <c r="K34" s="194">
        <f>'Forecast Expenditure-Volumes'!U35</f>
        <v>0</v>
      </c>
      <c r="L34" s="194">
        <f>'Forecast Expenditure-Volumes'!V35</f>
        <v>0</v>
      </c>
      <c r="M34" s="194">
        <f>'Forecast Expenditure-Volumes'!W35</f>
        <v>0</v>
      </c>
      <c r="N34" s="194">
        <f>'Forecast Expenditure-Volumes'!X35</f>
        <v>0</v>
      </c>
      <c r="O34" s="194">
        <f>'Forecast Expenditure-Volumes'!Y35</f>
        <v>0</v>
      </c>
      <c r="P34" s="143"/>
      <c r="Q34" s="4"/>
      <c r="R34" s="4"/>
    </row>
    <row r="35" spans="1:18" x14ac:dyDescent="0.2">
      <c r="A35" s="4"/>
      <c r="B35" s="301" t="s">
        <v>60</v>
      </c>
      <c r="C35" s="83" t="s">
        <v>200</v>
      </c>
      <c r="D35" s="55" t="s">
        <v>61</v>
      </c>
      <c r="E35" s="185">
        <f>'Historical Expenditure-Volumes'!D119</f>
        <v>0</v>
      </c>
      <c r="F35" s="185">
        <f>'Historical Expenditure-Volumes'!E119</f>
        <v>0</v>
      </c>
      <c r="G35" s="185">
        <f>'Historical Expenditure-Volumes'!F119</f>
        <v>0</v>
      </c>
      <c r="H35" s="185">
        <f>'Historical Expenditure-Volumes'!G119</f>
        <v>0</v>
      </c>
      <c r="I35" s="194">
        <f>'Forecast Expenditure-Volumes'!S36</f>
        <v>0</v>
      </c>
      <c r="J35" s="194">
        <f>'Forecast Expenditure-Volumes'!T36</f>
        <v>0</v>
      </c>
      <c r="K35" s="194">
        <f>'Forecast Expenditure-Volumes'!U36</f>
        <v>0</v>
      </c>
      <c r="L35" s="194">
        <f>'Forecast Expenditure-Volumes'!V36</f>
        <v>0</v>
      </c>
      <c r="M35" s="194">
        <f>'Forecast Expenditure-Volumes'!W36</f>
        <v>0</v>
      </c>
      <c r="N35" s="194">
        <f>'Forecast Expenditure-Volumes'!X36</f>
        <v>0</v>
      </c>
      <c r="O35" s="194">
        <f>'Forecast Expenditure-Volumes'!Y36</f>
        <v>0</v>
      </c>
      <c r="P35" s="143"/>
      <c r="Q35" s="4"/>
      <c r="R35" s="4"/>
    </row>
    <row r="36" spans="1:18" x14ac:dyDescent="0.2">
      <c r="A36" s="4"/>
      <c r="B36" s="301"/>
      <c r="C36" s="83" t="s">
        <v>210</v>
      </c>
      <c r="D36" s="55" t="s">
        <v>63</v>
      </c>
      <c r="E36" s="185">
        <f>'Historical Expenditure-Volumes'!D120</f>
        <v>0</v>
      </c>
      <c r="F36" s="185">
        <f>'Historical Expenditure-Volumes'!E120</f>
        <v>0</v>
      </c>
      <c r="G36" s="185">
        <f>'Historical Expenditure-Volumes'!F120</f>
        <v>0</v>
      </c>
      <c r="H36" s="185">
        <f>'Historical Expenditure-Volumes'!G120</f>
        <v>0</v>
      </c>
      <c r="I36" s="194">
        <f>'Forecast Expenditure-Volumes'!S37</f>
        <v>0</v>
      </c>
      <c r="J36" s="194">
        <f>'Forecast Expenditure-Volumes'!T37</f>
        <v>0</v>
      </c>
      <c r="K36" s="194">
        <f>'Forecast Expenditure-Volumes'!U37</f>
        <v>0</v>
      </c>
      <c r="L36" s="194">
        <f>'Forecast Expenditure-Volumes'!V37</f>
        <v>0</v>
      </c>
      <c r="M36" s="194">
        <f>'Forecast Expenditure-Volumes'!W37</f>
        <v>0</v>
      </c>
      <c r="N36" s="194">
        <f>'Forecast Expenditure-Volumes'!X37</f>
        <v>0</v>
      </c>
      <c r="O36" s="194">
        <f>'Forecast Expenditure-Volumes'!Y37</f>
        <v>0</v>
      </c>
      <c r="P36" s="143"/>
      <c r="Q36" s="4"/>
      <c r="R36" s="4"/>
    </row>
    <row r="37" spans="1:18" x14ac:dyDescent="0.2">
      <c r="A37" s="4"/>
      <c r="B37" s="301"/>
      <c r="C37" s="83" t="s">
        <v>207</v>
      </c>
      <c r="D37" s="55" t="s">
        <v>65</v>
      </c>
      <c r="E37" s="185">
        <f>'Historical Expenditure-Volumes'!D121</f>
        <v>0</v>
      </c>
      <c r="F37" s="185">
        <f>'Historical Expenditure-Volumes'!E121</f>
        <v>0</v>
      </c>
      <c r="G37" s="185">
        <f>'Historical Expenditure-Volumes'!F121</f>
        <v>0</v>
      </c>
      <c r="H37" s="185">
        <f>'Historical Expenditure-Volumes'!G121</f>
        <v>0</v>
      </c>
      <c r="I37" s="193">
        <f>'Forecast Expenditure-Volumes'!S38</f>
        <v>1.125</v>
      </c>
      <c r="J37" s="193">
        <f>'Forecast Expenditure-Volumes'!T38</f>
        <v>1.125</v>
      </c>
      <c r="K37" s="193">
        <f>'Forecast Expenditure-Volumes'!U38</f>
        <v>1.125</v>
      </c>
      <c r="L37" s="193">
        <f>'Forecast Expenditure-Volumes'!V38</f>
        <v>1.125</v>
      </c>
      <c r="M37" s="193">
        <f>'Forecast Expenditure-Volumes'!W38</f>
        <v>1.125</v>
      </c>
      <c r="N37" s="193">
        <f>'Forecast Expenditure-Volumes'!X38</f>
        <v>1.125</v>
      </c>
      <c r="O37" s="193">
        <f>'Forecast Expenditure-Volumes'!Y38</f>
        <v>1.125</v>
      </c>
      <c r="P37" s="143"/>
      <c r="Q37" s="4"/>
      <c r="R37" s="4"/>
    </row>
    <row r="38" spans="1:18" x14ac:dyDescent="0.2">
      <c r="A38" s="4"/>
      <c r="B38" s="299" t="s">
        <v>66</v>
      </c>
      <c r="C38" s="84" t="s">
        <v>211</v>
      </c>
      <c r="D38" s="57" t="s">
        <v>67</v>
      </c>
      <c r="E38" s="185">
        <f>'Historical Expenditure-Volumes'!D122</f>
        <v>0</v>
      </c>
      <c r="F38" s="185">
        <f>'Historical Expenditure-Volumes'!E122</f>
        <v>0</v>
      </c>
      <c r="G38" s="185">
        <f>'Historical Expenditure-Volumes'!F122</f>
        <v>0</v>
      </c>
      <c r="H38" s="185">
        <f>'Historical Expenditure-Volumes'!G122</f>
        <v>0</v>
      </c>
      <c r="I38" s="194">
        <f>'Forecast Expenditure-Volumes'!S39</f>
        <v>0</v>
      </c>
      <c r="J38" s="194">
        <f>'Forecast Expenditure-Volumes'!T39</f>
        <v>0</v>
      </c>
      <c r="K38" s="194">
        <f>'Forecast Expenditure-Volumes'!U39</f>
        <v>0</v>
      </c>
      <c r="L38" s="194">
        <f>'Forecast Expenditure-Volumes'!V39</f>
        <v>0</v>
      </c>
      <c r="M38" s="194">
        <f>'Forecast Expenditure-Volumes'!W39</f>
        <v>0</v>
      </c>
      <c r="N38" s="194">
        <f>'Forecast Expenditure-Volumes'!X39</f>
        <v>0</v>
      </c>
      <c r="O38" s="194">
        <f>'Forecast Expenditure-Volumes'!Y39</f>
        <v>0</v>
      </c>
      <c r="P38" s="143"/>
      <c r="Q38" s="4"/>
      <c r="R38" s="4"/>
    </row>
    <row r="39" spans="1:18" x14ac:dyDescent="0.2">
      <c r="A39" s="4"/>
      <c r="B39" s="299"/>
      <c r="C39" s="84" t="s">
        <v>212</v>
      </c>
      <c r="D39" s="57" t="s">
        <v>69</v>
      </c>
      <c r="E39" s="185">
        <f>'Historical Expenditure-Volumes'!D123</f>
        <v>0.5</v>
      </c>
      <c r="F39" s="185">
        <f>'Historical Expenditure-Volumes'!E123</f>
        <v>0.5</v>
      </c>
      <c r="G39" s="185">
        <f>'Historical Expenditure-Volumes'!F123</f>
        <v>0.5</v>
      </c>
      <c r="H39" s="185">
        <f>'Historical Expenditure-Volumes'!G123</f>
        <v>0</v>
      </c>
      <c r="I39" s="194">
        <f>'Forecast Expenditure-Volumes'!S40</f>
        <v>0.375</v>
      </c>
      <c r="J39" s="194">
        <f>'Forecast Expenditure-Volumes'!T40</f>
        <v>0.375</v>
      </c>
      <c r="K39" s="194">
        <f>'Forecast Expenditure-Volumes'!U40</f>
        <v>0.375</v>
      </c>
      <c r="L39" s="194">
        <f>'Forecast Expenditure-Volumes'!V40</f>
        <v>0.375</v>
      </c>
      <c r="M39" s="194">
        <f>'Forecast Expenditure-Volumes'!W40</f>
        <v>0.375</v>
      </c>
      <c r="N39" s="194">
        <f>'Forecast Expenditure-Volumes'!X40</f>
        <v>0.375</v>
      </c>
      <c r="O39" s="194">
        <f>'Forecast Expenditure-Volumes'!Y40</f>
        <v>0.375</v>
      </c>
      <c r="P39" s="143"/>
      <c r="Q39" s="4"/>
      <c r="R39" s="4"/>
    </row>
    <row r="40" spans="1:18" x14ac:dyDescent="0.2">
      <c r="A40" s="4"/>
      <c r="B40" s="299"/>
      <c r="C40" s="84" t="s">
        <v>213</v>
      </c>
      <c r="D40" s="57" t="s">
        <v>71</v>
      </c>
      <c r="E40" s="185">
        <f>'Historical Expenditure-Volumes'!D124</f>
        <v>0</v>
      </c>
      <c r="F40" s="185">
        <f>'Historical Expenditure-Volumes'!E124</f>
        <v>0</v>
      </c>
      <c r="G40" s="185">
        <f>'Historical Expenditure-Volumes'!F124</f>
        <v>0</v>
      </c>
      <c r="H40" s="185">
        <f>'Historical Expenditure-Volumes'!G124</f>
        <v>0</v>
      </c>
      <c r="I40" s="185">
        <f>'Forecast Expenditure-Volumes'!S41</f>
        <v>0</v>
      </c>
      <c r="J40" s="185">
        <f>'Forecast Expenditure-Volumes'!T41</f>
        <v>0</v>
      </c>
      <c r="K40" s="185">
        <f>'Forecast Expenditure-Volumes'!U41</f>
        <v>0</v>
      </c>
      <c r="L40" s="185">
        <f>'Forecast Expenditure-Volumes'!V41</f>
        <v>0</v>
      </c>
      <c r="M40" s="185">
        <f>'Forecast Expenditure-Volumes'!W41</f>
        <v>0</v>
      </c>
      <c r="N40" s="185">
        <f>'Forecast Expenditure-Volumes'!X41</f>
        <v>0</v>
      </c>
      <c r="O40" s="185">
        <f>'Forecast Expenditure-Volumes'!Y41</f>
        <v>0</v>
      </c>
      <c r="P40" s="143"/>
      <c r="Q40" s="4"/>
      <c r="R40" s="4"/>
    </row>
    <row r="41" spans="1:18" s="162" customFormat="1" x14ac:dyDescent="0.2">
      <c r="A41" s="143"/>
      <c r="B41" s="166" t="s">
        <v>304</v>
      </c>
      <c r="C41" s="165" t="s">
        <v>305</v>
      </c>
      <c r="D41" s="89"/>
      <c r="E41" s="185">
        <f>'Historical Expenditure-Volumes'!D133</f>
        <v>273.45500000000004</v>
      </c>
      <c r="F41" s="185">
        <f>'Historical Expenditure-Volumes'!E133</f>
        <v>228.45500000000001</v>
      </c>
      <c r="G41" s="185">
        <f>'Historical Expenditure-Volumes'!F133</f>
        <v>233</v>
      </c>
      <c r="H41" s="185">
        <f>'Historical Expenditure-Volumes'!G133</f>
        <v>263.67532996955208</v>
      </c>
      <c r="I41" s="185">
        <f>'Forecast Expenditure-Volumes'!G19</f>
        <v>249.64633249238804</v>
      </c>
      <c r="J41" s="185">
        <f>'Forecast Expenditure-Volumes'!H19</f>
        <v>261.9603574426867</v>
      </c>
      <c r="K41" s="185">
        <f>'Forecast Expenditure-Volumes'!I19</f>
        <v>264.91572343075842</v>
      </c>
      <c r="L41" s="185">
        <f>'Forecast Expenditure-Volumes'!J19</f>
        <v>271.15482940557644</v>
      </c>
      <c r="M41" s="185">
        <f>'Forecast Expenditure-Volumes'!K19</f>
        <v>272.9608863982869</v>
      </c>
      <c r="N41" s="185">
        <f>'Forecast Expenditure-Volumes'!L19</f>
        <v>274.84903689066607</v>
      </c>
      <c r="O41" s="185">
        <f>'Forecast Expenditure-Volumes'!M19</f>
        <v>275.66997188735263</v>
      </c>
      <c r="P41" s="143"/>
      <c r="Q41" s="143"/>
      <c r="R41" s="143"/>
    </row>
    <row r="42" spans="1:18" x14ac:dyDescent="0.2">
      <c r="A42" s="4"/>
      <c r="B42" s="4"/>
      <c r="C42" s="4"/>
      <c r="D42" s="74" t="s">
        <v>36</v>
      </c>
      <c r="E42" s="192">
        <f t="shared" ref="E42:O42" si="1">SUM(E27:E41)</f>
        <v>3048.9549999999999</v>
      </c>
      <c r="F42" s="192">
        <f t="shared" si="1"/>
        <v>921.45500000000004</v>
      </c>
      <c r="G42" s="192">
        <f t="shared" si="1"/>
        <v>1158</v>
      </c>
      <c r="H42" s="192">
        <f t="shared" si="1"/>
        <v>1602.7260798645925</v>
      </c>
      <c r="I42" s="192">
        <f t="shared" si="1"/>
        <v>1193.2462618853883</v>
      </c>
      <c r="J42" s="192">
        <f t="shared" si="1"/>
        <v>1170.9146042318184</v>
      </c>
      <c r="K42" s="192">
        <f t="shared" si="1"/>
        <v>1177.4848611997536</v>
      </c>
      <c r="L42" s="192">
        <f t="shared" si="1"/>
        <v>1170.2968132871297</v>
      </c>
      <c r="M42" s="192">
        <f t="shared" si="1"/>
        <v>1190.4063811132376</v>
      </c>
      <c r="N42" s="192">
        <f t="shared" si="1"/>
        <v>1213.0904268503582</v>
      </c>
      <c r="O42" s="192">
        <f t="shared" si="1"/>
        <v>1222.1297292153163</v>
      </c>
      <c r="P42" s="143"/>
      <c r="Q42" s="4"/>
      <c r="R42" s="4"/>
    </row>
    <row r="43" spans="1:18" x14ac:dyDescent="0.2">
      <c r="A43" s="4"/>
      <c r="B43" s="4"/>
      <c r="C43" s="4"/>
      <c r="D43" s="4"/>
      <c r="E43" s="186">
        <f>E42-'Historical Expenditure-Volumes'!D125-'Historical Expenditure-Volumes'!D133</f>
        <v>0</v>
      </c>
      <c r="F43" s="186">
        <f>F42-'Historical Expenditure-Volumes'!E125-'Historical Expenditure-Volumes'!E133</f>
        <v>0</v>
      </c>
      <c r="G43" s="186">
        <f>G42-'Historical Expenditure-Volumes'!F125-'Historical Expenditure-Volumes'!F133</f>
        <v>0</v>
      </c>
      <c r="H43" s="186">
        <f>H42-'Historical Expenditure-Volumes'!G125-'Historical Expenditure-Volumes'!G133</f>
        <v>0</v>
      </c>
      <c r="I43" s="186">
        <f>I42-'Forecast Expenditure-Volumes'!G21</f>
        <v>0</v>
      </c>
      <c r="J43" s="186">
        <f>J42-'Forecast Expenditure-Volumes'!H21</f>
        <v>0</v>
      </c>
      <c r="K43" s="186">
        <f>K42-'Forecast Expenditure-Volumes'!I21</f>
        <v>0</v>
      </c>
      <c r="L43" s="186">
        <f>L42-'Forecast Expenditure-Volumes'!J21</f>
        <v>0</v>
      </c>
      <c r="M43" s="186">
        <f>M42-'Forecast Expenditure-Volumes'!K21</f>
        <v>0</v>
      </c>
      <c r="N43" s="186">
        <f>N42-'Forecast Expenditure-Volumes'!L21</f>
        <v>0</v>
      </c>
      <c r="O43" s="186">
        <f>O42-'Forecast Expenditure-Volumes'!M21</f>
        <v>0</v>
      </c>
      <c r="P43" s="143"/>
      <c r="Q43" s="4"/>
      <c r="R43" s="4"/>
    </row>
    <row r="44" spans="1:18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43"/>
      <c r="Q44" s="4"/>
      <c r="R44" s="4"/>
    </row>
    <row r="45" spans="1:18" ht="15.75" x14ac:dyDescent="0.25">
      <c r="A45" s="28"/>
      <c r="B45" s="28" t="s">
        <v>307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1:18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43"/>
      <c r="Q46" s="4"/>
      <c r="R46" s="4"/>
    </row>
    <row r="47" spans="1:18" hidden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43"/>
      <c r="Q47" s="4"/>
      <c r="R47" s="4"/>
    </row>
    <row r="48" spans="1:18" hidden="1" x14ac:dyDescent="0.2">
      <c r="A48" s="4"/>
      <c r="B48" s="4"/>
      <c r="C48" s="4"/>
      <c r="D48" s="4"/>
      <c r="E48" s="4"/>
      <c r="F48" s="4"/>
      <c r="G48" s="4"/>
      <c r="H48" s="4"/>
      <c r="I48" s="4"/>
    </row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</sheetData>
  <mergeCells count="10">
    <mergeCell ref="B10:B14"/>
    <mergeCell ref="B7:B9"/>
    <mergeCell ref="E25:O25"/>
    <mergeCell ref="E5:O5"/>
    <mergeCell ref="B35:B37"/>
    <mergeCell ref="B38:B40"/>
    <mergeCell ref="B30:B34"/>
    <mergeCell ref="B27:B29"/>
    <mergeCell ref="B15:B17"/>
    <mergeCell ref="B18:B20"/>
  </mergeCells>
  <conditionalFormatting sqref="O2">
    <cfRule type="expression" dxfId="3" priority="1">
      <formula>O2="Check!"</formula>
    </cfRule>
  </conditionalFormatting>
  <hyperlinks>
    <hyperlink ref="O1" location="Menu!A1" display="Menu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2">
    <tabColor theme="1"/>
  </sheetPr>
  <dimension ref="A1:T105"/>
  <sheetViews>
    <sheetView zoomScale="80" zoomScaleNormal="80" workbookViewId="0">
      <pane ySplit="7" topLeftCell="A8" activePane="bottomLeft" state="frozen"/>
      <selection pane="bottomLeft" activeCell="A8" sqref="A8"/>
    </sheetView>
  </sheetViews>
  <sheetFormatPr defaultColWidth="0" defaultRowHeight="12.75" zeroHeight="1" x14ac:dyDescent="0.2"/>
  <cols>
    <col min="1" max="2" width="9.140625" style="162" customWidth="1"/>
    <col min="3" max="3" width="34.5703125" style="162" bestFit="1" customWidth="1"/>
    <col min="4" max="5" width="4.28515625" style="162" customWidth="1"/>
    <col min="6" max="9" width="11.28515625" style="162" customWidth="1"/>
    <col min="10" max="10" width="12.42578125" style="162" customWidth="1"/>
    <col min="11" max="11" width="12.28515625" style="162" customWidth="1"/>
    <col min="12" max="13" width="11.28515625" style="162" customWidth="1"/>
    <col min="14" max="14" width="11.7109375" style="162" customWidth="1"/>
    <col min="15" max="15" width="9.85546875" style="162" bestFit="1" customWidth="1"/>
    <col min="16" max="16" width="3.7109375" style="162" customWidth="1"/>
    <col min="17" max="18" width="11.7109375" style="162" hidden="1" customWidth="1"/>
    <col min="19" max="16384" width="9.140625" style="162" hidden="1"/>
  </cols>
  <sheetData>
    <row r="1" spans="1:20" ht="18" x14ac:dyDescent="0.25">
      <c r="A1" s="26" t="str">
        <f>Menu!A1</f>
        <v>CitiPower - Connections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30" t="s">
        <v>39</v>
      </c>
      <c r="P1" s="26"/>
      <c r="Q1" s="26"/>
      <c r="R1" s="26"/>
      <c r="S1" s="26"/>
      <c r="T1" s="26"/>
    </row>
    <row r="2" spans="1:20" ht="15.75" x14ac:dyDescent="0.25">
      <c r="A2" s="28" t="str">
        <f ca="1">RIGHT(CELL("filename", $A$1), LEN(CELL("filename", $A$1)) - SEARCH("]", CELL("filename", $A$1)))</f>
        <v>Gross Capex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38" t="s">
        <v>82</v>
      </c>
      <c r="O2" s="40" t="str">
        <f ca="1">IF(SUM(I98:O98)=0,"OK","Check!")</f>
        <v>OK</v>
      </c>
      <c r="P2" s="28"/>
      <c r="Q2" s="28"/>
      <c r="R2" s="28"/>
      <c r="S2" s="28"/>
      <c r="T2" s="28"/>
    </row>
    <row r="3" spans="1:20" x14ac:dyDescent="0.2">
      <c r="A3" s="143"/>
      <c r="B3" s="143"/>
      <c r="C3" s="1"/>
      <c r="D3" s="143"/>
      <c r="E3" s="143"/>
      <c r="F3" s="143"/>
      <c r="G3" s="143"/>
      <c r="H3" s="75"/>
      <c r="I3" s="143"/>
      <c r="J3" s="75"/>
      <c r="K3" s="75"/>
      <c r="L3" s="143"/>
      <c r="M3" s="143"/>
      <c r="N3" s="178"/>
      <c r="O3" s="179"/>
      <c r="P3" s="143"/>
      <c r="Q3" s="143"/>
      <c r="R3" s="143"/>
      <c r="S3" s="143"/>
      <c r="T3" s="143"/>
    </row>
    <row r="4" spans="1:20" x14ac:dyDescent="0.2">
      <c r="A4" s="143"/>
      <c r="B4" s="34" t="s">
        <v>272</v>
      </c>
      <c r="C4" s="1"/>
      <c r="D4" s="143"/>
      <c r="E4" s="143"/>
      <c r="F4" s="143"/>
      <c r="G4" s="143"/>
      <c r="H4" s="143"/>
      <c r="I4" s="75"/>
      <c r="J4" s="75"/>
      <c r="K4" s="75"/>
      <c r="L4" s="143"/>
      <c r="M4" s="143"/>
      <c r="N4" s="180"/>
      <c r="O4" s="143"/>
      <c r="P4" s="143"/>
      <c r="Q4" s="143"/>
      <c r="R4" s="143"/>
      <c r="S4" s="143"/>
      <c r="T4" s="143"/>
    </row>
    <row r="5" spans="1:20" x14ac:dyDescent="0.2">
      <c r="A5" s="143"/>
      <c r="B5" s="143"/>
      <c r="C5" s="143"/>
      <c r="D5" s="143"/>
      <c r="E5" s="143"/>
      <c r="F5" s="3" t="s">
        <v>326</v>
      </c>
      <c r="G5" s="3" t="s">
        <v>327</v>
      </c>
      <c r="H5" s="163" t="s">
        <v>328</v>
      </c>
      <c r="I5" s="3" t="s">
        <v>312</v>
      </c>
      <c r="J5" s="3" t="s">
        <v>313</v>
      </c>
      <c r="K5" s="3" t="s">
        <v>314</v>
      </c>
      <c r="L5" s="3" t="s">
        <v>315</v>
      </c>
      <c r="M5" s="3" t="s">
        <v>316</v>
      </c>
      <c r="N5" s="3" t="s">
        <v>317</v>
      </c>
      <c r="O5" s="3" t="s">
        <v>318</v>
      </c>
      <c r="P5" s="143"/>
      <c r="Q5" s="143"/>
      <c r="R5" s="143"/>
      <c r="S5" s="143"/>
      <c r="T5" s="143"/>
    </row>
    <row r="6" spans="1:20" x14ac:dyDescent="0.2">
      <c r="A6" s="143"/>
      <c r="B6" s="313" t="s">
        <v>35</v>
      </c>
      <c r="C6" s="313" t="s">
        <v>75</v>
      </c>
      <c r="D6" s="143"/>
      <c r="E6" s="143"/>
      <c r="F6" s="3" t="s">
        <v>166</v>
      </c>
      <c r="G6" s="3" t="s">
        <v>166</v>
      </c>
      <c r="H6" s="3" t="s">
        <v>166</v>
      </c>
      <c r="I6" s="3" t="s">
        <v>319</v>
      </c>
      <c r="J6" s="3" t="s">
        <v>319</v>
      </c>
      <c r="K6" s="3" t="s">
        <v>319</v>
      </c>
      <c r="L6" s="3" t="s">
        <v>319</v>
      </c>
      <c r="M6" s="3" t="s">
        <v>319</v>
      </c>
      <c r="N6" s="3" t="s">
        <v>319</v>
      </c>
      <c r="O6" s="3" t="s">
        <v>319</v>
      </c>
      <c r="P6" s="143"/>
      <c r="Q6" s="143"/>
      <c r="R6" s="143"/>
      <c r="S6" s="143"/>
      <c r="T6" s="143"/>
    </row>
    <row r="7" spans="1:20" x14ac:dyDescent="0.2">
      <c r="A7" s="143"/>
      <c r="B7" s="314"/>
      <c r="C7" s="314"/>
      <c r="D7" s="143"/>
      <c r="E7" s="143"/>
      <c r="F7" s="3" t="s">
        <v>167</v>
      </c>
      <c r="G7" s="3" t="s">
        <v>167</v>
      </c>
      <c r="H7" s="3" t="s">
        <v>168</v>
      </c>
      <c r="I7" s="3" t="s">
        <v>168</v>
      </c>
      <c r="J7" s="3" t="s">
        <v>168</v>
      </c>
      <c r="K7" s="3" t="s">
        <v>168</v>
      </c>
      <c r="L7" s="3" t="s">
        <v>168</v>
      </c>
      <c r="M7" s="3" t="s">
        <v>168</v>
      </c>
      <c r="N7" s="3" t="s">
        <v>168</v>
      </c>
      <c r="O7" s="3" t="s">
        <v>168</v>
      </c>
      <c r="P7" s="143"/>
      <c r="Q7" s="143"/>
      <c r="R7" s="143"/>
      <c r="S7" s="143"/>
      <c r="T7" s="143"/>
    </row>
    <row r="8" spans="1:20" x14ac:dyDescent="0.2">
      <c r="A8" s="143"/>
      <c r="B8" s="43">
        <v>102</v>
      </c>
      <c r="C8" s="44" t="s">
        <v>83</v>
      </c>
      <c r="D8" s="143"/>
      <c r="E8" s="143"/>
      <c r="F8" s="96">
        <f>SUMIF('Historical Expenditure-Volumes'!$B$9:$B$22,'Gross Capex'!$B8,'Historical Expenditure-Volumes'!E$9:E$22)/1000+SUMIF('Historical Contributions'!$B$8:$B$20,'Gross Capex'!$B8,'Historical Contributions'!D$8:D$20)/1000</f>
        <v>1649.6225549999999</v>
      </c>
      <c r="G8" s="96">
        <f>SUMIF('Historical Expenditure-Volumes'!$B$9:$B$22,'Gross Capex'!$B8,'Historical Expenditure-Volumes'!F$9:F$22)/1000+SUMIF('Historical Contributions'!$B$8:$B$20,'Gross Capex'!$B8,'Historical Contributions'!E$8:E$20)/1000</f>
        <v>2609.5407800000003</v>
      </c>
      <c r="H8" s="96">
        <f>SUMIF('Historical Expenditure-Volumes'!$B$9:$B$22,'Gross Capex'!$B8,'Historical Expenditure-Volumes'!G$9:G$22)/1000+SUMIF('Historical Contributions'!$B$8:$B$20,'Gross Capex'!$B8,'Historical Contributions'!F$8:F$20)/1000</f>
        <v>3452.1415936497406</v>
      </c>
      <c r="I8" s="185">
        <f ca="1">SUMIF('Forecast Expenditure-Volumes'!$B$92:$B$104,'Gross Capex'!$B8,'Forecast Expenditure-Volumes'!G$92:G$104)/1000+SUMIF('Forecast Contributions'!$B$8:$B$20,'Gross Capex'!$B8,'Forecast Contributions'!G$8:G$20)/1000</f>
        <v>2359.7975005836515</v>
      </c>
      <c r="J8" s="185">
        <f ca="1">SUMIF('Forecast Expenditure-Volumes'!$B$92:$B$104,'Gross Capex'!$B8,'Forecast Expenditure-Volumes'!H$92:H$104)/1000+SUMIF('Forecast Contributions'!$B$8:$B$20,'Gross Capex'!$B8,'Forecast Contributions'!H$8:H$20)/1000</f>
        <v>2272.3998607443204</v>
      </c>
      <c r="K8" s="185">
        <f ca="1">SUMIF('Forecast Expenditure-Volumes'!$B$92:$B$104,'Gross Capex'!$B8,'Forecast Expenditure-Volumes'!I$92:I$104)/1000+SUMIF('Forecast Contributions'!$B$8:$B$20,'Gross Capex'!$B8,'Forecast Contributions'!I$8:I$20)/1000</f>
        <v>1345.5107905305988</v>
      </c>
      <c r="L8" s="185">
        <f ca="1">SUMIF('Forecast Expenditure-Volumes'!$B$92:$B$104,'Gross Capex'!$B8,'Forecast Expenditure-Volumes'!J$92:J$104)/1000+SUMIF('Forecast Contributions'!$B$8:$B$20,'Gross Capex'!$B8,'Forecast Contributions'!J$8:J$20)/1000</f>
        <v>2387.3337432727562</v>
      </c>
      <c r="M8" s="185">
        <f ca="1">SUMIF('Forecast Expenditure-Volumes'!$B$92:$B$104,'Gross Capex'!$B8,'Forecast Expenditure-Volumes'!K$92:K$104)/1000+SUMIF('Forecast Contributions'!$B$8:$B$20,'Gross Capex'!$B8,'Forecast Contributions'!K$8:K$20)/1000</f>
        <v>2427.4408793634084</v>
      </c>
      <c r="N8" s="185">
        <f ca="1">SUMIF('Forecast Expenditure-Volumes'!$B$92:$B$104,'Gross Capex'!$B8,'Forecast Expenditure-Volumes'!L$92:L$104)/1000+SUMIF('Forecast Contributions'!$B$8:$B$20,'Gross Capex'!$B8,'Forecast Contributions'!L$8:L$20)/1000</f>
        <v>2440.6103867364582</v>
      </c>
      <c r="O8" s="185">
        <f ca="1">SUMIF('Forecast Expenditure-Volumes'!$B$92:$B$104,'Gross Capex'!$B8,'Forecast Expenditure-Volumes'!M$92:M$104)/1000+SUMIF('Forecast Contributions'!$B$8:$B$20,'Gross Capex'!$B8,'Forecast Contributions'!M$8:M$20)/1000</f>
        <v>2455.2764290382638</v>
      </c>
      <c r="P8" s="143"/>
      <c r="Q8" s="143"/>
      <c r="R8" s="143"/>
      <c r="S8" s="143"/>
      <c r="T8" s="143"/>
    </row>
    <row r="9" spans="1:20" x14ac:dyDescent="0.2">
      <c r="A9" s="143"/>
      <c r="B9" s="36">
        <v>103</v>
      </c>
      <c r="C9" s="33" t="s">
        <v>84</v>
      </c>
      <c r="D9" s="143"/>
      <c r="E9" s="143"/>
      <c r="F9" s="96">
        <f>SUMIF('Historical Expenditure-Volumes'!$B$9:$B$22,'Gross Capex'!$B9,'Historical Expenditure-Volumes'!E$9:E$22)/1000+SUMIF('Historical Contributions'!$B$8:$B$20,'Gross Capex'!$B9,'Historical Contributions'!D$8:D$20)/1000</f>
        <v>0</v>
      </c>
      <c r="G9" s="96">
        <f>SUMIF('Historical Expenditure-Volumes'!$B$9:$B$22,'Gross Capex'!$B9,'Historical Expenditure-Volumes'!F$9:F$22)/1000+SUMIF('Historical Contributions'!$B$8:$B$20,'Gross Capex'!$B9,'Historical Contributions'!E$8:E$20)/1000</f>
        <v>0</v>
      </c>
      <c r="H9" s="96">
        <f>SUMIF('Historical Expenditure-Volumes'!$B$9:$B$22,'Gross Capex'!$B9,'Historical Expenditure-Volumes'!G$9:G$22)/1000+SUMIF('Historical Contributions'!$B$8:$B$20,'Gross Capex'!$B9,'Historical Contributions'!F$8:F$20)/1000</f>
        <v>0</v>
      </c>
      <c r="I9" s="185">
        <f>SUMIF('Forecast Expenditure-Volumes'!$B$92:$B$104,'Gross Capex'!$B9,'Forecast Expenditure-Volumes'!G$92:G$104)/1000+SUMIF('Forecast Contributions'!$B$8:$B$20,'Gross Capex'!$B9,'Forecast Contributions'!G$8:G$20)/1000</f>
        <v>0</v>
      </c>
      <c r="J9" s="185">
        <f>SUMIF('Forecast Expenditure-Volumes'!$B$92:$B$104,'Gross Capex'!$B9,'Forecast Expenditure-Volumes'!H$92:H$104)/1000+SUMIF('Forecast Contributions'!$B$8:$B$20,'Gross Capex'!$B9,'Forecast Contributions'!H$8:H$20)/1000</f>
        <v>0</v>
      </c>
      <c r="K9" s="185">
        <f>SUMIF('Forecast Expenditure-Volumes'!$B$92:$B$104,'Gross Capex'!$B9,'Forecast Expenditure-Volumes'!I$92:I$104)/1000+SUMIF('Forecast Contributions'!$B$8:$B$20,'Gross Capex'!$B9,'Forecast Contributions'!I$8:I$20)/1000</f>
        <v>0</v>
      </c>
      <c r="L9" s="185">
        <f>SUMIF('Forecast Expenditure-Volumes'!$B$92:$B$104,'Gross Capex'!$B9,'Forecast Expenditure-Volumes'!J$92:J$104)/1000+SUMIF('Forecast Contributions'!$B$8:$B$20,'Gross Capex'!$B9,'Forecast Contributions'!J$8:J$20)/1000</f>
        <v>0</v>
      </c>
      <c r="M9" s="185">
        <f>SUMIF('Forecast Expenditure-Volumes'!$B$92:$B$104,'Gross Capex'!$B9,'Forecast Expenditure-Volumes'!K$92:K$104)/1000+SUMIF('Forecast Contributions'!$B$8:$B$20,'Gross Capex'!$B9,'Forecast Contributions'!K$8:K$20)/1000</f>
        <v>0</v>
      </c>
      <c r="N9" s="185">
        <f>SUMIF('Forecast Expenditure-Volumes'!$B$92:$B$104,'Gross Capex'!$B9,'Forecast Expenditure-Volumes'!L$92:L$104)/1000+SUMIF('Forecast Contributions'!$B$8:$B$20,'Gross Capex'!$B9,'Forecast Contributions'!L$8:L$20)/1000</f>
        <v>0</v>
      </c>
      <c r="O9" s="185">
        <f>SUMIF('Forecast Expenditure-Volumes'!$B$92:$B$104,'Gross Capex'!$B9,'Forecast Expenditure-Volumes'!M$92:M$104)/1000+SUMIF('Forecast Contributions'!$B$8:$B$20,'Gross Capex'!$B9,'Forecast Contributions'!M$8:M$20)/1000</f>
        <v>0</v>
      </c>
      <c r="P9" s="143"/>
      <c r="Q9" s="143"/>
      <c r="R9" s="143"/>
      <c r="S9" s="143"/>
      <c r="T9" s="143"/>
    </row>
    <row r="10" spans="1:20" x14ac:dyDescent="0.2">
      <c r="A10" s="143"/>
      <c r="B10" s="36">
        <v>104</v>
      </c>
      <c r="C10" s="33" t="s">
        <v>85</v>
      </c>
      <c r="D10" s="143"/>
      <c r="E10" s="143"/>
      <c r="F10" s="96">
        <f>SUMIF('Historical Expenditure-Volumes'!$B$9:$B$22,'Gross Capex'!$B10,'Historical Expenditure-Volumes'!E$9:E$22)/1000+SUMIF('Historical Contributions'!$B$8:$B$20,'Gross Capex'!$B10,'Historical Contributions'!D$8:D$20)/1000</f>
        <v>68.97500500000001</v>
      </c>
      <c r="G10" s="96">
        <f>SUMIF('Historical Expenditure-Volumes'!$B$9:$B$22,'Gross Capex'!$B10,'Historical Expenditure-Volumes'!F$9:F$22)/1000+SUMIF('Historical Contributions'!$B$8:$B$20,'Gross Capex'!$B10,'Historical Contributions'!E$8:E$20)/1000</f>
        <v>78.788374999997032</v>
      </c>
      <c r="H10" s="96">
        <f>SUMIF('Historical Expenditure-Volumes'!$B$9:$B$22,'Gross Capex'!$B10,'Historical Expenditure-Volumes'!G$9:G$22)/1000+SUMIF('Historical Contributions'!$B$8:$B$20,'Gross Capex'!$B10,'Historical Contributions'!F$8:F$20)/1000</f>
        <v>14.386330000000001</v>
      </c>
      <c r="I10" s="185">
        <f ca="1">SUMIF('Forecast Expenditure-Volumes'!$B$92:$B$104,'Gross Capex'!$B10,'Forecast Expenditure-Volumes'!G$92:G$104)/1000+SUMIF('Forecast Contributions'!$B$8:$B$20,'Gross Capex'!$B10,'Forecast Contributions'!G$8:G$20)/1000</f>
        <v>44.923823709242882</v>
      </c>
      <c r="J10" s="185">
        <f ca="1">SUMIF('Forecast Expenditure-Volumes'!$B$92:$B$104,'Gross Capex'!$B10,'Forecast Expenditure-Volumes'!H$92:H$104)/1000+SUMIF('Forecast Contributions'!$B$8:$B$20,'Gross Capex'!$B10,'Forecast Contributions'!H$8:H$20)/1000</f>
        <v>44.923823709242882</v>
      </c>
      <c r="K10" s="185">
        <f ca="1">SUMIF('Forecast Expenditure-Volumes'!$B$92:$B$104,'Gross Capex'!$B10,'Forecast Expenditure-Volumes'!I$92:I$104)/1000+SUMIF('Forecast Contributions'!$B$8:$B$20,'Gross Capex'!$B10,'Forecast Contributions'!I$8:I$20)/1000</f>
        <v>26.027343556325864</v>
      </c>
      <c r="L10" s="185">
        <f ca="1">SUMIF('Forecast Expenditure-Volumes'!$B$92:$B$104,'Gross Capex'!$B10,'Forecast Expenditure-Volumes'!J$92:J$104)/1000+SUMIF('Forecast Contributions'!$B$8:$B$20,'Gross Capex'!$B10,'Forecast Contributions'!J$8:J$20)/1000</f>
        <v>44.923823709242882</v>
      </c>
      <c r="M10" s="185">
        <f ca="1">SUMIF('Forecast Expenditure-Volumes'!$B$92:$B$104,'Gross Capex'!$B10,'Forecast Expenditure-Volumes'!K$92:K$104)/1000+SUMIF('Forecast Contributions'!$B$8:$B$20,'Gross Capex'!$B10,'Forecast Contributions'!K$8:K$20)/1000</f>
        <v>44.923823709242882</v>
      </c>
      <c r="N10" s="185">
        <f ca="1">SUMIF('Forecast Expenditure-Volumes'!$B$92:$B$104,'Gross Capex'!$B10,'Forecast Expenditure-Volumes'!L$92:L$104)/1000+SUMIF('Forecast Contributions'!$B$8:$B$20,'Gross Capex'!$B10,'Forecast Contributions'!L$8:L$20)/1000</f>
        <v>44.923823709242882</v>
      </c>
      <c r="O10" s="185">
        <f ca="1">SUMIF('Forecast Expenditure-Volumes'!$B$92:$B$104,'Gross Capex'!$B10,'Forecast Expenditure-Volumes'!M$92:M$104)/1000+SUMIF('Forecast Contributions'!$B$8:$B$20,'Gross Capex'!$B10,'Forecast Contributions'!M$8:M$20)/1000</f>
        <v>44.923823709242882</v>
      </c>
      <c r="P10" s="143"/>
      <c r="Q10" s="143"/>
      <c r="R10" s="143"/>
      <c r="S10" s="143"/>
      <c r="T10" s="143"/>
    </row>
    <row r="11" spans="1:20" x14ac:dyDescent="0.2">
      <c r="A11" s="143"/>
      <c r="B11" s="36">
        <v>105</v>
      </c>
      <c r="C11" s="33" t="s">
        <v>86</v>
      </c>
      <c r="D11" s="143"/>
      <c r="E11" s="143"/>
      <c r="F11" s="96">
        <f>SUMIF('Historical Expenditure-Volumes'!$B$9:$B$22,'Gross Capex'!$B11,'Historical Expenditure-Volumes'!E$9:E$22)/1000+SUMIF('Historical Contributions'!$B$8:$B$20,'Gross Capex'!$B11,'Historical Contributions'!D$8:D$20)/1000</f>
        <v>6331.7317349999994</v>
      </c>
      <c r="G11" s="96">
        <f>SUMIF('Historical Expenditure-Volumes'!$B$9:$B$22,'Gross Capex'!$B11,'Historical Expenditure-Volumes'!F$9:F$22)/1000+SUMIF('Historical Contributions'!$B$8:$B$20,'Gross Capex'!$B11,'Historical Contributions'!E$8:E$20)/1000</f>
        <v>6761.0235899999998</v>
      </c>
      <c r="H11" s="96">
        <f>SUMIF('Historical Expenditure-Volumes'!$B$9:$B$22,'Gross Capex'!$B11,'Historical Expenditure-Volumes'!G$9:G$22)/1000+SUMIF('Historical Contributions'!$B$8:$B$20,'Gross Capex'!$B11,'Historical Contributions'!F$8:F$20)/1000</f>
        <v>7864.0825208385359</v>
      </c>
      <c r="I11" s="185">
        <f ca="1">SUMIF('Forecast Expenditure-Volumes'!$B$92:$B$104,'Gross Capex'!$B11,'Forecast Expenditure-Volumes'!G$92:G$104)/1000+SUMIF('Forecast Contributions'!$B$8:$B$20,'Gross Capex'!$B11,'Forecast Contributions'!G$8:G$20)/1000</f>
        <v>7242.9682014274531</v>
      </c>
      <c r="J11" s="185">
        <f ca="1">SUMIF('Forecast Expenditure-Volumes'!$B$92:$B$104,'Gross Capex'!$B11,'Forecast Expenditure-Volumes'!H$92:H$104)/1000+SUMIF('Forecast Contributions'!$B$8:$B$20,'Gross Capex'!$B11,'Forecast Contributions'!H$8:H$20)/1000</f>
        <v>7052.8810033855389</v>
      </c>
      <c r="K11" s="185">
        <f ca="1">SUMIF('Forecast Expenditure-Volumes'!$B$92:$B$104,'Gross Capex'!$B11,'Forecast Expenditure-Volumes'!I$92:I$104)/1000+SUMIF('Forecast Contributions'!$B$8:$B$20,'Gross Capex'!$B11,'Forecast Contributions'!I$8:I$20)/1000</f>
        <v>6740.5948923166789</v>
      </c>
      <c r="L11" s="185">
        <f ca="1">SUMIF('Forecast Expenditure-Volumes'!$B$92:$B$104,'Gross Capex'!$B11,'Forecast Expenditure-Volumes'!J$92:J$104)/1000+SUMIF('Forecast Contributions'!$B$8:$B$20,'Gross Capex'!$B11,'Forecast Contributions'!J$8:J$20)/1000</f>
        <v>5366.536003613699</v>
      </c>
      <c r="M11" s="185">
        <f ca="1">SUMIF('Forecast Expenditure-Volumes'!$B$92:$B$104,'Gross Capex'!$B11,'Forecast Expenditure-Volumes'!K$92:K$104)/1000+SUMIF('Forecast Contributions'!$B$8:$B$20,'Gross Capex'!$B11,'Forecast Contributions'!K$8:K$20)/1000</f>
        <v>5396.4068490202853</v>
      </c>
      <c r="N11" s="185">
        <f ca="1">SUMIF('Forecast Expenditure-Volumes'!$B$92:$B$104,'Gross Capex'!$B11,'Forecast Expenditure-Volumes'!L$92:L$104)/1000+SUMIF('Forecast Contributions'!$B$8:$B$20,'Gross Capex'!$B11,'Forecast Contributions'!L$8:L$20)/1000</f>
        <v>5993.8237571520176</v>
      </c>
      <c r="O11" s="185">
        <f ca="1">SUMIF('Forecast Expenditure-Volumes'!$B$92:$B$104,'Gross Capex'!$B11,'Forecast Expenditure-Volumes'!M$92:M$104)/1000+SUMIF('Forecast Contributions'!$B$8:$B$20,'Gross Capex'!$B11,'Forecast Contributions'!M$8:M$20)/1000</f>
        <v>6121.4537329801597</v>
      </c>
      <c r="P11" s="143"/>
      <c r="Q11" s="143"/>
      <c r="R11" s="143"/>
      <c r="S11" s="143"/>
      <c r="T11" s="143"/>
    </row>
    <row r="12" spans="1:20" x14ac:dyDescent="0.2">
      <c r="A12" s="143"/>
      <c r="B12" s="36">
        <v>106</v>
      </c>
      <c r="C12" s="33" t="s">
        <v>87</v>
      </c>
      <c r="D12" s="143"/>
      <c r="E12" s="143"/>
      <c r="F12" s="96">
        <f>SUMIF('Historical Expenditure-Volumes'!$B$9:$B$22,'Gross Capex'!$B12,'Historical Expenditure-Volumes'!E$9:E$22)/1000+SUMIF('Historical Contributions'!$B$8:$B$20,'Gross Capex'!$B12,'Historical Contributions'!D$8:D$20)/1000</f>
        <v>8286.7327450000012</v>
      </c>
      <c r="G12" s="96">
        <f>SUMIF('Historical Expenditure-Volumes'!$B$9:$B$22,'Gross Capex'!$B12,'Historical Expenditure-Volumes'!F$9:F$22)/1000+SUMIF('Historical Contributions'!$B$8:$B$20,'Gross Capex'!$B12,'Historical Contributions'!E$8:E$20)/1000</f>
        <v>8863.1556449999989</v>
      </c>
      <c r="H12" s="96">
        <f>SUMIF('Historical Expenditure-Volumes'!$B$9:$B$22,'Gross Capex'!$B12,'Historical Expenditure-Volumes'!G$9:G$22)/1000+SUMIF('Historical Contributions'!$B$8:$B$20,'Gross Capex'!$B12,'Historical Contributions'!F$8:F$20)/1000</f>
        <v>9381.1620320996717</v>
      </c>
      <c r="I12" s="185">
        <f ca="1">SUMIF('Forecast Expenditure-Volumes'!$B$92:$B$104,'Gross Capex'!$B12,'Forecast Expenditure-Volumes'!G$92:G$104)/1000+SUMIF('Forecast Contributions'!$B$8:$B$20,'Gross Capex'!$B12,'Forecast Contributions'!G$8:G$20)/1000</f>
        <v>9674.2893463512864</v>
      </c>
      <c r="J12" s="185">
        <f ca="1">SUMIF('Forecast Expenditure-Volumes'!$B$92:$B$104,'Gross Capex'!$B12,'Forecast Expenditure-Volumes'!H$92:H$104)/1000+SUMIF('Forecast Contributions'!$B$8:$B$20,'Gross Capex'!$B12,'Forecast Contributions'!H$8:H$20)/1000</f>
        <v>9803.7624822108392</v>
      </c>
      <c r="K12" s="185">
        <f ca="1">SUMIF('Forecast Expenditure-Volumes'!$B$92:$B$104,'Gross Capex'!$B12,'Forecast Expenditure-Volumes'!I$92:I$104)/1000+SUMIF('Forecast Contributions'!$B$8:$B$20,'Gross Capex'!$B12,'Forecast Contributions'!I$8:I$20)/1000</f>
        <v>9958.3375525737774</v>
      </c>
      <c r="L12" s="185">
        <f ca="1">SUMIF('Forecast Expenditure-Volumes'!$B$92:$B$104,'Gross Capex'!$B12,'Forecast Expenditure-Volumes'!J$92:J$104)/1000+SUMIF('Forecast Contributions'!$B$8:$B$20,'Gross Capex'!$B12,'Forecast Contributions'!J$8:J$20)/1000</f>
        <v>9371.7449778631417</v>
      </c>
      <c r="M12" s="185">
        <f ca="1">SUMIF('Forecast Expenditure-Volumes'!$B$92:$B$104,'Gross Capex'!$B12,'Forecast Expenditure-Volumes'!K$92:K$104)/1000+SUMIF('Forecast Contributions'!$B$8:$B$20,'Gross Capex'!$B12,'Forecast Contributions'!K$8:K$20)/1000</f>
        <v>9194.7102818919157</v>
      </c>
      <c r="N12" s="185">
        <f ca="1">SUMIF('Forecast Expenditure-Volumes'!$B$92:$B$104,'Gross Capex'!$B12,'Forecast Expenditure-Volumes'!L$92:L$104)/1000+SUMIF('Forecast Contributions'!$B$8:$B$20,'Gross Capex'!$B12,'Forecast Contributions'!L$8:L$20)/1000</f>
        <v>9494.6123414849662</v>
      </c>
      <c r="O12" s="185">
        <f ca="1">SUMIF('Forecast Expenditure-Volumes'!$B$92:$B$104,'Gross Capex'!$B12,'Forecast Expenditure-Volumes'!M$92:M$104)/1000+SUMIF('Forecast Contributions'!$B$8:$B$20,'Gross Capex'!$B12,'Forecast Contributions'!M$8:M$20)/1000</f>
        <v>9649.1874118479027</v>
      </c>
      <c r="P12" s="143"/>
      <c r="Q12" s="143"/>
      <c r="R12" s="143"/>
      <c r="S12" s="143"/>
      <c r="T12" s="143"/>
    </row>
    <row r="13" spans="1:20" x14ac:dyDescent="0.2">
      <c r="A13" s="143"/>
      <c r="B13" s="36">
        <v>107</v>
      </c>
      <c r="C13" s="33" t="s">
        <v>88</v>
      </c>
      <c r="D13" s="143"/>
      <c r="E13" s="143"/>
      <c r="F13" s="96">
        <f>SUMIF('Historical Expenditure-Volumes'!$B$9:$B$22,'Gross Capex'!$B13,'Historical Expenditure-Volumes'!E$9:E$22)/1000+SUMIF('Historical Contributions'!$B$8:$B$20,'Gross Capex'!$B13,'Historical Contributions'!D$8:D$20)/1000</f>
        <v>3238.626205</v>
      </c>
      <c r="G13" s="96">
        <f>SUMIF('Historical Expenditure-Volumes'!$B$9:$B$22,'Gross Capex'!$B13,'Historical Expenditure-Volumes'!F$9:F$22)/1000+SUMIF('Historical Contributions'!$B$8:$B$20,'Gross Capex'!$B13,'Historical Contributions'!E$8:E$20)/1000</f>
        <v>1898.8660950000003</v>
      </c>
      <c r="H13" s="96">
        <f>SUMIF('Historical Expenditure-Volumes'!$B$9:$B$22,'Gross Capex'!$B13,'Historical Expenditure-Volumes'!G$9:G$22)/1000+SUMIF('Historical Contributions'!$B$8:$B$20,'Gross Capex'!$B13,'Historical Contributions'!F$8:F$20)/1000</f>
        <v>2784.1480607857588</v>
      </c>
      <c r="I13" s="185">
        <f ca="1">SUMIF('Forecast Expenditure-Volumes'!$B$92:$B$104,'Gross Capex'!$B13,'Forecast Expenditure-Volumes'!G$92:G$104)/1000+SUMIF('Forecast Contributions'!$B$8:$B$20,'Gross Capex'!$B13,'Forecast Contributions'!G$8:G$20)/1000</f>
        <v>3632.8990485023483</v>
      </c>
      <c r="J13" s="185">
        <f ca="1">SUMIF('Forecast Expenditure-Volumes'!$B$92:$B$104,'Gross Capex'!$B13,'Forecast Expenditure-Volumes'!H$92:H$104)/1000+SUMIF('Forecast Contributions'!$B$8:$B$20,'Gross Capex'!$B13,'Forecast Contributions'!H$8:H$20)/1000</f>
        <v>6596.1799568935139</v>
      </c>
      <c r="K13" s="185">
        <f ca="1">SUMIF('Forecast Expenditure-Volumes'!$B$92:$B$104,'Gross Capex'!$B13,'Forecast Expenditure-Volumes'!I$92:I$104)/1000+SUMIF('Forecast Contributions'!$B$8:$B$20,'Gross Capex'!$B13,'Forecast Contributions'!I$8:I$20)/1000</f>
        <v>3972.822604426322</v>
      </c>
      <c r="L13" s="185">
        <f ca="1">SUMIF('Forecast Expenditure-Volumes'!$B$92:$B$104,'Gross Capex'!$B13,'Forecast Expenditure-Volumes'!J$92:J$104)/1000+SUMIF('Forecast Contributions'!$B$8:$B$20,'Gross Capex'!$B13,'Forecast Contributions'!J$8:J$20)/1000</f>
        <v>5115.8228111327026</v>
      </c>
      <c r="M13" s="185">
        <f ca="1">SUMIF('Forecast Expenditure-Volumes'!$B$92:$B$104,'Gross Capex'!$B13,'Forecast Expenditure-Volumes'!K$92:K$104)/1000+SUMIF('Forecast Contributions'!$B$8:$B$20,'Gross Capex'!$B13,'Forecast Contributions'!K$8:K$20)/1000</f>
        <v>7337.4176792857979</v>
      </c>
      <c r="N13" s="185">
        <f ca="1">SUMIF('Forecast Expenditure-Volumes'!$B$92:$B$104,'Gross Capex'!$B13,'Forecast Expenditure-Volumes'!L$92:L$104)/1000+SUMIF('Forecast Contributions'!$B$8:$B$20,'Gross Capex'!$B13,'Forecast Contributions'!L$8:L$20)/1000</f>
        <v>2894.2279429796072</v>
      </c>
      <c r="O13" s="185">
        <f ca="1">SUMIF('Forecast Expenditure-Volumes'!$B$92:$B$104,'Gross Capex'!$B13,'Forecast Expenditure-Volumes'!M$92:M$104)/1000+SUMIF('Forecast Contributions'!$B$8:$B$20,'Gross Capex'!$B13,'Forecast Contributions'!M$8:M$20)/1000</f>
        <v>2894.2279429796072</v>
      </c>
      <c r="P13" s="143"/>
      <c r="Q13" s="75"/>
      <c r="R13" s="143"/>
      <c r="S13" s="143"/>
      <c r="T13" s="143"/>
    </row>
    <row r="14" spans="1:20" x14ac:dyDescent="0.2">
      <c r="A14" s="143"/>
      <c r="B14" s="36">
        <v>108</v>
      </c>
      <c r="C14" s="33" t="s">
        <v>89</v>
      </c>
      <c r="D14" s="143"/>
      <c r="E14" s="143"/>
      <c r="F14" s="96">
        <f>SUMIF('Historical Expenditure-Volumes'!$B$9:$B$22,'Gross Capex'!$B14,'Historical Expenditure-Volumes'!E$9:E$22)/1000+SUMIF('Historical Contributions'!$B$8:$B$20,'Gross Capex'!$B14,'Historical Contributions'!D$8:D$20)/1000</f>
        <v>0</v>
      </c>
      <c r="G14" s="96">
        <f>SUMIF('Historical Expenditure-Volumes'!$B$9:$B$22,'Gross Capex'!$B14,'Historical Expenditure-Volumes'!F$9:F$22)/1000+SUMIF('Historical Contributions'!$B$8:$B$20,'Gross Capex'!$B14,'Historical Contributions'!E$8:E$20)/1000</f>
        <v>0</v>
      </c>
      <c r="H14" s="96">
        <f>SUMIF('Historical Expenditure-Volumes'!$B$9:$B$22,'Gross Capex'!$B14,'Historical Expenditure-Volumes'!G$9:G$22)/1000+SUMIF('Historical Contributions'!$B$8:$B$20,'Gross Capex'!$B14,'Historical Contributions'!F$8:F$20)/1000</f>
        <v>0</v>
      </c>
      <c r="I14" s="185">
        <f ca="1">SUMIF('Forecast Expenditure-Volumes'!$B$92:$B$104,'Gross Capex'!$B14,'Forecast Expenditure-Volumes'!G$92:G$104)/1000+SUMIF('Forecast Contributions'!$B$8:$B$20,'Gross Capex'!$B14,'Forecast Contributions'!G$8:G$20)/1000</f>
        <v>0</v>
      </c>
      <c r="J14" s="185">
        <f ca="1">SUMIF('Forecast Expenditure-Volumes'!$B$92:$B$104,'Gross Capex'!$B14,'Forecast Expenditure-Volumes'!H$92:H$104)/1000+SUMIF('Forecast Contributions'!$B$8:$B$20,'Gross Capex'!$B14,'Forecast Contributions'!H$8:H$20)/1000</f>
        <v>0</v>
      </c>
      <c r="K14" s="185">
        <f ca="1">SUMIF('Forecast Expenditure-Volumes'!$B$92:$B$104,'Gross Capex'!$B14,'Forecast Expenditure-Volumes'!I$92:I$104)/1000+SUMIF('Forecast Contributions'!$B$8:$B$20,'Gross Capex'!$B14,'Forecast Contributions'!I$8:I$20)/1000</f>
        <v>0</v>
      </c>
      <c r="L14" s="185">
        <f ca="1">SUMIF('Forecast Expenditure-Volumes'!$B$92:$B$104,'Gross Capex'!$B14,'Forecast Expenditure-Volumes'!J$92:J$104)/1000+SUMIF('Forecast Contributions'!$B$8:$B$20,'Gross Capex'!$B14,'Forecast Contributions'!J$8:J$20)/1000</f>
        <v>0</v>
      </c>
      <c r="M14" s="185">
        <f ca="1">SUMIF('Forecast Expenditure-Volumes'!$B$92:$B$104,'Gross Capex'!$B14,'Forecast Expenditure-Volumes'!K$92:K$104)/1000+SUMIF('Forecast Contributions'!$B$8:$B$20,'Gross Capex'!$B14,'Forecast Contributions'!K$8:K$20)/1000</f>
        <v>0</v>
      </c>
      <c r="N14" s="185">
        <f ca="1">SUMIF('Forecast Expenditure-Volumes'!$B$92:$B$104,'Gross Capex'!$B14,'Forecast Expenditure-Volumes'!L$92:L$104)/1000+SUMIF('Forecast Contributions'!$B$8:$B$20,'Gross Capex'!$B14,'Forecast Contributions'!L$8:L$20)/1000</f>
        <v>0</v>
      </c>
      <c r="O14" s="185">
        <f ca="1">SUMIF('Forecast Expenditure-Volumes'!$B$92:$B$104,'Gross Capex'!$B14,'Forecast Expenditure-Volumes'!M$92:M$104)/1000+SUMIF('Forecast Contributions'!$B$8:$B$20,'Gross Capex'!$B14,'Forecast Contributions'!M$8:M$20)/1000</f>
        <v>0</v>
      </c>
      <c r="P14" s="143"/>
      <c r="Q14" s="75"/>
      <c r="R14" s="143"/>
      <c r="S14" s="143"/>
      <c r="T14" s="143"/>
    </row>
    <row r="15" spans="1:20" x14ac:dyDescent="0.2">
      <c r="A15" s="143"/>
      <c r="B15" s="36">
        <v>109</v>
      </c>
      <c r="C15" s="33" t="s">
        <v>90</v>
      </c>
      <c r="D15" s="143"/>
      <c r="E15" s="143"/>
      <c r="F15" s="96">
        <f>SUMIF('Historical Expenditure-Volumes'!$B$9:$B$22,'Gross Capex'!$B15,'Historical Expenditure-Volumes'!E$9:E$22)/1000+SUMIF('Historical Contributions'!$B$8:$B$20,'Gross Capex'!$B15,'Historical Contributions'!D$8:D$20)/1000</f>
        <v>4725.7662499999997</v>
      </c>
      <c r="G15" s="96">
        <f>SUMIF('Historical Expenditure-Volumes'!$B$9:$B$22,'Gross Capex'!$B15,'Historical Expenditure-Volumes'!F$9:F$22)/1000+SUMIF('Historical Contributions'!$B$8:$B$20,'Gross Capex'!$B15,'Historical Contributions'!E$8:E$20)/1000</f>
        <v>5473.6462549999997</v>
      </c>
      <c r="H15" s="96">
        <f>SUMIF('Historical Expenditure-Volumes'!$B$9:$B$22,'Gross Capex'!$B15,'Historical Expenditure-Volumes'!G$9:G$22)/1000+SUMIF('Historical Contributions'!$B$8:$B$20,'Gross Capex'!$B15,'Historical Contributions'!F$8:F$20)/1000</f>
        <v>6705.1679548928969</v>
      </c>
      <c r="I15" s="185">
        <f ca="1">SUMIF('Forecast Expenditure-Volumes'!$B$92:$B$104,'Gross Capex'!$B15,'Forecast Expenditure-Volumes'!G$92:G$104)/1000+SUMIF('Forecast Contributions'!$B$8:$B$20,'Gross Capex'!$B15,'Forecast Contributions'!G$8:G$20)/1000</f>
        <v>6001.0768938385199</v>
      </c>
      <c r="J15" s="185">
        <f ca="1">SUMIF('Forecast Expenditure-Volumes'!$B$92:$B$104,'Gross Capex'!$B15,'Forecast Expenditure-Volumes'!H$92:H$104)/1000+SUMIF('Forecast Contributions'!$B$8:$B$20,'Gross Capex'!$B15,'Forecast Contributions'!H$8:H$20)/1000</f>
        <v>5778.5325132186517</v>
      </c>
      <c r="K15" s="185">
        <f ca="1">SUMIF('Forecast Expenditure-Volumes'!$B$92:$B$104,'Gross Capex'!$B15,'Forecast Expenditure-Volumes'!I$92:I$104)/1000+SUMIF('Forecast Contributions'!$B$8:$B$20,'Gross Capex'!$B15,'Forecast Contributions'!I$8:I$20)/1000</f>
        <v>3421.6262763047202</v>
      </c>
      <c r="L15" s="185">
        <f ca="1">SUMIF('Forecast Expenditure-Volumes'!$B$92:$B$104,'Gross Capex'!$B15,'Forecast Expenditure-Volumes'!J$92:J$104)/1000+SUMIF('Forecast Contributions'!$B$8:$B$20,'Gross Capex'!$B15,'Forecast Contributions'!J$8:J$20)/1000</f>
        <v>6071.193616499575</v>
      </c>
      <c r="M15" s="185">
        <f ca="1">SUMIF('Forecast Expenditure-Volumes'!$B$92:$B$104,'Gross Capex'!$B15,'Forecast Expenditure-Volumes'!K$92:K$104)/1000+SUMIF('Forecast Contributions'!$B$8:$B$20,'Gross Capex'!$B15,'Forecast Contributions'!K$8:K$20)/1000</f>
        <v>6173.3201473319805</v>
      </c>
      <c r="N15" s="185">
        <f ca="1">SUMIF('Forecast Expenditure-Volumes'!$B$92:$B$104,'Gross Capex'!$B15,'Forecast Expenditure-Volumes'!L$92:L$104)/1000+SUMIF('Forecast Contributions'!$B$8:$B$20,'Gross Capex'!$B15,'Forecast Contributions'!L$8:L$20)/1000</f>
        <v>6206.8542320829201</v>
      </c>
      <c r="O15" s="185">
        <f ca="1">SUMIF('Forecast Expenditure-Volumes'!$B$92:$B$104,'Gross Capex'!$B15,'Forecast Expenditure-Volumes'!M$92:M$104)/1000+SUMIF('Forecast Contributions'!$B$8:$B$20,'Gross Capex'!$B15,'Forecast Contributions'!M$8:M$20)/1000</f>
        <v>6244.1990082828288</v>
      </c>
      <c r="P15" s="143"/>
      <c r="Q15" s="75"/>
      <c r="R15" s="75"/>
      <c r="S15" s="143"/>
      <c r="T15" s="143"/>
    </row>
    <row r="16" spans="1:20" x14ac:dyDescent="0.2">
      <c r="A16" s="143"/>
      <c r="B16" s="36">
        <v>110</v>
      </c>
      <c r="C16" s="33" t="s">
        <v>91</v>
      </c>
      <c r="D16" s="143"/>
      <c r="E16" s="143"/>
      <c r="F16" s="96">
        <f>SUMIF('Historical Expenditure-Volumes'!$B$9:$B$22,'Gross Capex'!$B16,'Historical Expenditure-Volumes'!E$9:E$22)/1000+SUMIF('Historical Contributions'!$B$8:$B$20,'Gross Capex'!$B16,'Historical Contributions'!D$8:D$20)/1000</f>
        <v>0</v>
      </c>
      <c r="G16" s="96">
        <f>SUMIF('Historical Expenditure-Volumes'!$B$9:$B$22,'Gross Capex'!$B16,'Historical Expenditure-Volumes'!F$9:F$22)/1000+SUMIF('Historical Contributions'!$B$8:$B$20,'Gross Capex'!$B16,'Historical Contributions'!E$8:E$20)/1000</f>
        <v>0</v>
      </c>
      <c r="H16" s="96">
        <f>SUMIF('Historical Expenditure-Volumes'!$B$9:$B$22,'Gross Capex'!$B16,'Historical Expenditure-Volumes'!G$9:G$22)/1000+SUMIF('Historical Contributions'!$B$8:$B$20,'Gross Capex'!$B16,'Historical Contributions'!F$8:F$20)/1000</f>
        <v>0</v>
      </c>
      <c r="I16" s="185">
        <f ca="1">SUMIF('Forecast Expenditure-Volumes'!$B$92:$B$104,'Gross Capex'!$B16,'Forecast Expenditure-Volumes'!G$92:G$104)/1000+SUMIF('Forecast Contributions'!$B$8:$B$20,'Gross Capex'!$B16,'Forecast Contributions'!G$8:G$20)/1000</f>
        <v>0</v>
      </c>
      <c r="J16" s="185">
        <f ca="1">SUMIF('Forecast Expenditure-Volumes'!$B$92:$B$104,'Gross Capex'!$B16,'Forecast Expenditure-Volumes'!H$92:H$104)/1000+SUMIF('Forecast Contributions'!$B$8:$B$20,'Gross Capex'!$B16,'Forecast Contributions'!H$8:H$20)/1000</f>
        <v>0</v>
      </c>
      <c r="K16" s="185">
        <f ca="1">SUMIF('Forecast Expenditure-Volumes'!$B$92:$B$104,'Gross Capex'!$B16,'Forecast Expenditure-Volumes'!I$92:I$104)/1000+SUMIF('Forecast Contributions'!$B$8:$B$20,'Gross Capex'!$B16,'Forecast Contributions'!I$8:I$20)/1000</f>
        <v>0</v>
      </c>
      <c r="L16" s="185">
        <f ca="1">SUMIF('Forecast Expenditure-Volumes'!$B$92:$B$104,'Gross Capex'!$B16,'Forecast Expenditure-Volumes'!J$92:J$104)/1000+SUMIF('Forecast Contributions'!$B$8:$B$20,'Gross Capex'!$B16,'Forecast Contributions'!J$8:J$20)/1000</f>
        <v>0</v>
      </c>
      <c r="M16" s="185">
        <f ca="1">SUMIF('Forecast Expenditure-Volumes'!$B$92:$B$104,'Gross Capex'!$B16,'Forecast Expenditure-Volumes'!K$92:K$104)/1000+SUMIF('Forecast Contributions'!$B$8:$B$20,'Gross Capex'!$B16,'Forecast Contributions'!K$8:K$20)/1000</f>
        <v>0</v>
      </c>
      <c r="N16" s="185">
        <f ca="1">SUMIF('Forecast Expenditure-Volumes'!$B$92:$B$104,'Gross Capex'!$B16,'Forecast Expenditure-Volumes'!L$92:L$104)/1000+SUMIF('Forecast Contributions'!$B$8:$B$20,'Gross Capex'!$B16,'Forecast Contributions'!L$8:L$20)/1000</f>
        <v>0</v>
      </c>
      <c r="O16" s="185">
        <f ca="1">SUMIF('Forecast Expenditure-Volumes'!$B$92:$B$104,'Gross Capex'!$B16,'Forecast Expenditure-Volumes'!M$92:M$104)/1000+SUMIF('Forecast Contributions'!$B$8:$B$20,'Gross Capex'!$B16,'Forecast Contributions'!M$8:M$20)/1000</f>
        <v>0</v>
      </c>
      <c r="P16" s="143"/>
      <c r="Q16" s="143"/>
      <c r="R16" s="143"/>
      <c r="S16" s="143"/>
      <c r="T16" s="143"/>
    </row>
    <row r="17" spans="1:20" x14ac:dyDescent="0.2">
      <c r="A17" s="143"/>
      <c r="B17" s="36">
        <v>111</v>
      </c>
      <c r="C17" s="33" t="s">
        <v>92</v>
      </c>
      <c r="D17" s="143"/>
      <c r="E17" s="143"/>
      <c r="F17" s="96">
        <f>SUMIF('Historical Expenditure-Volumes'!$B$9:$B$22,'Gross Capex'!$B17,'Historical Expenditure-Volumes'!E$9:E$22)/1000+SUMIF('Historical Contributions'!$B$8:$B$20,'Gross Capex'!$B17,'Historical Contributions'!D$8:D$20)/1000</f>
        <v>18467.040675</v>
      </c>
      <c r="G17" s="96">
        <f>SUMIF('Historical Expenditure-Volumes'!$B$9:$B$22,'Gross Capex'!$B17,'Historical Expenditure-Volumes'!F$9:F$22)/1000+SUMIF('Historical Contributions'!$B$8:$B$20,'Gross Capex'!$B17,'Historical Contributions'!E$8:E$20)/1000</f>
        <v>21720.305590000004</v>
      </c>
      <c r="H17" s="96">
        <f>SUMIF('Historical Expenditure-Volumes'!$B$9:$B$22,'Gross Capex'!$B17,'Historical Expenditure-Volumes'!G$9:G$22)/1000+SUMIF('Historical Contributions'!$B$8:$B$20,'Gross Capex'!$B17,'Historical Contributions'!F$8:F$20)/1000</f>
        <v>26582.360990501307</v>
      </c>
      <c r="I17" s="185">
        <f ca="1">SUMIF('Forecast Expenditure-Volumes'!$B$92:$B$104,'Gross Capex'!$B17,'Forecast Expenditure-Volumes'!G$92:G$104)/1000+SUMIF('Forecast Contributions'!$B$8:$B$20,'Gross Capex'!$B17,'Forecast Contributions'!G$8:G$20)/1000</f>
        <v>23660.196654165571</v>
      </c>
      <c r="J17" s="185">
        <f ca="1">SUMIF('Forecast Expenditure-Volumes'!$B$92:$B$104,'Gross Capex'!$B17,'Forecast Expenditure-Volumes'!H$92:H$104)/1000+SUMIF('Forecast Contributions'!$B$8:$B$20,'Gross Capex'!$B17,'Forecast Contributions'!H$8:H$20)/1000</f>
        <v>21833.606665675965</v>
      </c>
      <c r="K17" s="185">
        <f ca="1">SUMIF('Forecast Expenditure-Volumes'!$B$92:$B$104,'Gross Capex'!$B17,'Forecast Expenditure-Volumes'!I$92:I$104)/1000+SUMIF('Forecast Contributions'!$B$8:$B$20,'Gross Capex'!$B17,'Forecast Contributions'!I$8:I$20)/1000</f>
        <v>20606.366517159509</v>
      </c>
      <c r="L17" s="185">
        <f ca="1">SUMIF('Forecast Expenditure-Volumes'!$B$92:$B$104,'Gross Capex'!$B17,'Forecast Expenditure-Volumes'!J$92:J$104)/1000+SUMIF('Forecast Contributions'!$B$8:$B$20,'Gross Capex'!$B17,'Forecast Contributions'!J$8:J$20)/1000</f>
        <v>19852.898146907548</v>
      </c>
      <c r="M17" s="185">
        <f ca="1">SUMIF('Forecast Expenditure-Volumes'!$B$92:$B$104,'Gross Capex'!$B17,'Forecast Expenditure-Volumes'!K$92:K$104)/1000+SUMIF('Forecast Contributions'!$B$8:$B$20,'Gross Capex'!$B17,'Forecast Contributions'!K$8:K$20)/1000</f>
        <v>21599.574823400737</v>
      </c>
      <c r="N17" s="185">
        <f ca="1">SUMIF('Forecast Expenditure-Volumes'!$B$92:$B$104,'Gross Capex'!$B17,'Forecast Expenditure-Volumes'!L$92:L$104)/1000+SUMIF('Forecast Contributions'!$B$8:$B$20,'Gross Capex'!$B17,'Forecast Contributions'!L$8:L$20)/1000</f>
        <v>22659.377556305648</v>
      </c>
      <c r="O17" s="185">
        <f ca="1">SUMIF('Forecast Expenditure-Volumes'!$B$92:$B$104,'Gross Capex'!$B17,'Forecast Expenditure-Volumes'!M$92:M$104)/1000+SUMIF('Forecast Contributions'!$B$8:$B$20,'Gross Capex'!$B17,'Forecast Contributions'!M$8:M$20)/1000</f>
        <v>22872.479721629428</v>
      </c>
      <c r="P17" s="143"/>
      <c r="Q17" s="143"/>
      <c r="R17" s="143"/>
      <c r="S17" s="143"/>
      <c r="T17" s="143"/>
    </row>
    <row r="18" spans="1:20" x14ac:dyDescent="0.2">
      <c r="A18" s="143"/>
      <c r="B18" s="36">
        <v>112</v>
      </c>
      <c r="C18" s="33" t="s">
        <v>93</v>
      </c>
      <c r="D18" s="143"/>
      <c r="E18" s="143"/>
      <c r="F18" s="96">
        <f>SUMIF('Historical Expenditure-Volumes'!$B$9:$B$22,'Gross Capex'!$B18,'Historical Expenditure-Volumes'!E$9:E$22)/1000+SUMIF('Historical Contributions'!$B$8:$B$20,'Gross Capex'!$B18,'Historical Contributions'!D$8:D$20)/1000</f>
        <v>0</v>
      </c>
      <c r="G18" s="96">
        <f>SUMIF('Historical Expenditure-Volumes'!$B$9:$B$22,'Gross Capex'!$B18,'Historical Expenditure-Volumes'!F$9:F$22)/1000+SUMIF('Historical Contributions'!$B$8:$B$20,'Gross Capex'!$B18,'Historical Contributions'!E$8:E$20)/1000</f>
        <v>0</v>
      </c>
      <c r="H18" s="96">
        <f>SUMIF('Historical Expenditure-Volumes'!$B$9:$B$22,'Gross Capex'!$B18,'Historical Expenditure-Volumes'!G$9:G$22)/1000+SUMIF('Historical Contributions'!$B$8:$B$20,'Gross Capex'!$B18,'Historical Contributions'!F$8:F$20)/1000</f>
        <v>0</v>
      </c>
      <c r="I18" s="185">
        <f>SUMIF('Forecast Expenditure-Volumes'!$B$92:$B$104,'Gross Capex'!$B18,'Forecast Expenditure-Volumes'!G$92:G$104)/1000+SUMIF('Forecast Contributions'!$B$8:$B$20,'Gross Capex'!$B18,'Forecast Contributions'!G$8:G$20)/1000</f>
        <v>0</v>
      </c>
      <c r="J18" s="185">
        <f>SUMIF('Forecast Expenditure-Volumes'!$B$92:$B$104,'Gross Capex'!$B18,'Forecast Expenditure-Volumes'!H$92:H$104)/1000+SUMIF('Forecast Contributions'!$B$8:$B$20,'Gross Capex'!$B18,'Forecast Contributions'!H$8:H$20)/1000</f>
        <v>0</v>
      </c>
      <c r="K18" s="185">
        <f>SUMIF('Forecast Expenditure-Volumes'!$B$92:$B$104,'Gross Capex'!$B18,'Forecast Expenditure-Volumes'!I$92:I$104)/1000+SUMIF('Forecast Contributions'!$B$8:$B$20,'Gross Capex'!$B18,'Forecast Contributions'!I$8:I$20)/1000</f>
        <v>0</v>
      </c>
      <c r="L18" s="185">
        <f>SUMIF('Forecast Expenditure-Volumes'!$B$92:$B$104,'Gross Capex'!$B18,'Forecast Expenditure-Volumes'!J$92:J$104)/1000+SUMIF('Forecast Contributions'!$B$8:$B$20,'Gross Capex'!$B18,'Forecast Contributions'!J$8:J$20)/1000</f>
        <v>0</v>
      </c>
      <c r="M18" s="185">
        <f>SUMIF('Forecast Expenditure-Volumes'!$B$92:$B$104,'Gross Capex'!$B18,'Forecast Expenditure-Volumes'!K$92:K$104)/1000+SUMIF('Forecast Contributions'!$B$8:$B$20,'Gross Capex'!$B18,'Forecast Contributions'!K$8:K$20)/1000</f>
        <v>0</v>
      </c>
      <c r="N18" s="185">
        <f>SUMIF('Forecast Expenditure-Volumes'!$B$92:$B$104,'Gross Capex'!$B18,'Forecast Expenditure-Volumes'!L$92:L$104)/1000+SUMIF('Forecast Contributions'!$B$8:$B$20,'Gross Capex'!$B18,'Forecast Contributions'!L$8:L$20)/1000</f>
        <v>0</v>
      </c>
      <c r="O18" s="185">
        <f>SUMIF('Forecast Expenditure-Volumes'!$B$92:$B$104,'Gross Capex'!$B18,'Forecast Expenditure-Volumes'!M$92:M$104)/1000+SUMIF('Forecast Contributions'!$B$8:$B$20,'Gross Capex'!$B18,'Forecast Contributions'!M$8:M$20)/1000</f>
        <v>0</v>
      </c>
      <c r="P18" s="143"/>
      <c r="Q18" s="99"/>
      <c r="R18" s="143"/>
      <c r="S18" s="143"/>
      <c r="T18" s="143"/>
    </row>
    <row r="19" spans="1:20" x14ac:dyDescent="0.2">
      <c r="A19" s="143"/>
      <c r="B19" s="36">
        <v>113</v>
      </c>
      <c r="C19" s="33" t="s">
        <v>94</v>
      </c>
      <c r="D19" s="143"/>
      <c r="E19" s="143"/>
      <c r="F19" s="96">
        <f>SUMIF('Historical Expenditure-Volumes'!$B$9:$B$22,'Gross Capex'!$B19,'Historical Expenditure-Volumes'!E$9:E$22)/1000+SUMIF('Historical Contributions'!$B$8:$B$20,'Gross Capex'!$B19,'Historical Contributions'!D$8:D$20)/1000</f>
        <v>0</v>
      </c>
      <c r="G19" s="96">
        <f>SUMIF('Historical Expenditure-Volumes'!$B$9:$B$22,'Gross Capex'!$B19,'Historical Expenditure-Volumes'!F$9:F$22)/1000+SUMIF('Historical Contributions'!$B$8:$B$20,'Gross Capex'!$B19,'Historical Contributions'!E$8:E$20)/1000</f>
        <v>0</v>
      </c>
      <c r="H19" s="96">
        <f>SUMIF('Historical Expenditure-Volumes'!$B$9:$B$22,'Gross Capex'!$B19,'Historical Expenditure-Volumes'!G$9:G$22)/1000+SUMIF('Historical Contributions'!$B$8:$B$20,'Gross Capex'!$B19,'Historical Contributions'!F$8:F$20)/1000</f>
        <v>0</v>
      </c>
      <c r="I19" s="185">
        <f>SUMIF('Forecast Expenditure-Volumes'!$B$92:$B$104,'Gross Capex'!$B19,'Forecast Expenditure-Volumes'!G$92:G$104)/1000+SUMIF('Forecast Contributions'!$B$8:$B$20,'Gross Capex'!$B19,'Forecast Contributions'!G$8:G$20)/1000</f>
        <v>0</v>
      </c>
      <c r="J19" s="185">
        <f>SUMIF('Forecast Expenditure-Volumes'!$B$92:$B$104,'Gross Capex'!$B19,'Forecast Expenditure-Volumes'!H$92:H$104)/1000+SUMIF('Forecast Contributions'!$B$8:$B$20,'Gross Capex'!$B19,'Forecast Contributions'!H$8:H$20)/1000</f>
        <v>0</v>
      </c>
      <c r="K19" s="185">
        <f>SUMIF('Forecast Expenditure-Volumes'!$B$92:$B$104,'Gross Capex'!$B19,'Forecast Expenditure-Volumes'!I$92:I$104)/1000+SUMIF('Forecast Contributions'!$B$8:$B$20,'Gross Capex'!$B19,'Forecast Contributions'!I$8:I$20)/1000</f>
        <v>0</v>
      </c>
      <c r="L19" s="185">
        <f>SUMIF('Forecast Expenditure-Volumes'!$B$92:$B$104,'Gross Capex'!$B19,'Forecast Expenditure-Volumes'!J$92:J$104)/1000+SUMIF('Forecast Contributions'!$B$8:$B$20,'Gross Capex'!$B19,'Forecast Contributions'!J$8:J$20)/1000</f>
        <v>0</v>
      </c>
      <c r="M19" s="185">
        <f>SUMIF('Forecast Expenditure-Volumes'!$B$92:$B$104,'Gross Capex'!$B19,'Forecast Expenditure-Volumes'!K$92:K$104)/1000+SUMIF('Forecast Contributions'!$B$8:$B$20,'Gross Capex'!$B19,'Forecast Contributions'!K$8:K$20)/1000</f>
        <v>0</v>
      </c>
      <c r="N19" s="185">
        <f>SUMIF('Forecast Expenditure-Volumes'!$B$92:$B$104,'Gross Capex'!$B19,'Forecast Expenditure-Volumes'!L$92:L$104)/1000+SUMIF('Forecast Contributions'!$B$8:$B$20,'Gross Capex'!$B19,'Forecast Contributions'!L$8:L$20)/1000</f>
        <v>0</v>
      </c>
      <c r="O19" s="185">
        <f>SUMIF('Forecast Expenditure-Volumes'!$B$92:$B$104,'Gross Capex'!$B19,'Forecast Expenditure-Volumes'!M$92:M$104)/1000+SUMIF('Forecast Contributions'!$B$8:$B$20,'Gross Capex'!$B19,'Forecast Contributions'!M$8:M$20)/1000</f>
        <v>0</v>
      </c>
      <c r="P19" s="143"/>
      <c r="Q19" s="99"/>
      <c r="R19" s="99"/>
      <c r="S19" s="143"/>
      <c r="T19" s="143"/>
    </row>
    <row r="20" spans="1:20" x14ac:dyDescent="0.2">
      <c r="A20" s="143"/>
      <c r="B20" s="36">
        <v>114</v>
      </c>
      <c r="C20" s="33" t="s">
        <v>95</v>
      </c>
      <c r="D20" s="143"/>
      <c r="E20" s="143"/>
      <c r="F20" s="96">
        <f>SUMIF('Historical Expenditure-Volumes'!$B$9:$B$22,'Gross Capex'!$B20,'Historical Expenditure-Volumes'!E$9:E$22)/1000+SUMIF('Historical Contributions'!$B$8:$B$20,'Gross Capex'!$B20,'Historical Contributions'!D$8:D$20)/1000</f>
        <v>0</v>
      </c>
      <c r="G20" s="96">
        <f>SUMIF('Historical Expenditure-Volumes'!$B$9:$B$22,'Gross Capex'!$B20,'Historical Expenditure-Volumes'!F$9:F$22)/1000+SUMIF('Historical Contributions'!$B$8:$B$20,'Gross Capex'!$B20,'Historical Contributions'!E$8:E$20)/1000</f>
        <v>0</v>
      </c>
      <c r="H20" s="96">
        <f>SUMIF('Historical Expenditure-Volumes'!$B$9:$B$22,'Gross Capex'!$B20,'Historical Expenditure-Volumes'!G$9:G$22)/1000+SUMIF('Historical Contributions'!$B$8:$B$20,'Gross Capex'!$B20,'Historical Contributions'!F$8:F$20)/1000</f>
        <v>0</v>
      </c>
      <c r="I20" s="185">
        <f ca="1">SUMIF('Forecast Expenditure-Volumes'!$B$92:$B$104,'Gross Capex'!$B20,'Forecast Expenditure-Volumes'!G$92:G$104)/1000+SUMIF('Forecast Contributions'!$B$8:$B$20,'Gross Capex'!$B20,'Forecast Contributions'!G$8:G$20)/1000</f>
        <v>0</v>
      </c>
      <c r="J20" s="185">
        <f ca="1">SUMIF('Forecast Expenditure-Volumes'!$B$92:$B$104,'Gross Capex'!$B20,'Forecast Expenditure-Volumes'!H$92:H$104)/1000+SUMIF('Forecast Contributions'!$B$8:$B$20,'Gross Capex'!$B20,'Forecast Contributions'!H$8:H$20)/1000</f>
        <v>0</v>
      </c>
      <c r="K20" s="185">
        <f ca="1">SUMIF('Forecast Expenditure-Volumes'!$B$92:$B$104,'Gross Capex'!$B20,'Forecast Expenditure-Volumes'!I$92:I$104)/1000+SUMIF('Forecast Contributions'!$B$8:$B$20,'Gross Capex'!$B20,'Forecast Contributions'!I$8:I$20)/1000</f>
        <v>0</v>
      </c>
      <c r="L20" s="185">
        <f ca="1">SUMIF('Forecast Expenditure-Volumes'!$B$92:$B$104,'Gross Capex'!$B20,'Forecast Expenditure-Volumes'!J$92:J$104)/1000+SUMIF('Forecast Contributions'!$B$8:$B$20,'Gross Capex'!$B20,'Forecast Contributions'!J$8:J$20)/1000</f>
        <v>0</v>
      </c>
      <c r="M20" s="185">
        <f ca="1">SUMIF('Forecast Expenditure-Volumes'!$B$92:$B$104,'Gross Capex'!$B20,'Forecast Expenditure-Volumes'!K$92:K$104)/1000+SUMIF('Forecast Contributions'!$B$8:$B$20,'Gross Capex'!$B20,'Forecast Contributions'!K$8:K$20)/1000</f>
        <v>0</v>
      </c>
      <c r="N20" s="185">
        <f ca="1">SUMIF('Forecast Expenditure-Volumes'!$B$92:$B$104,'Gross Capex'!$B20,'Forecast Expenditure-Volumes'!L$92:L$104)/1000+SUMIF('Forecast Contributions'!$B$8:$B$20,'Gross Capex'!$B20,'Forecast Contributions'!L$8:L$20)/1000</f>
        <v>0</v>
      </c>
      <c r="O20" s="185">
        <f ca="1">SUMIF('Forecast Expenditure-Volumes'!$B$92:$B$104,'Gross Capex'!$B20,'Forecast Expenditure-Volumes'!M$92:M$104)/1000+SUMIF('Forecast Contributions'!$B$8:$B$20,'Gross Capex'!$B20,'Forecast Contributions'!M$8:M$20)/1000</f>
        <v>0</v>
      </c>
      <c r="P20" s="143"/>
      <c r="Q20" s="143"/>
      <c r="R20" s="143"/>
      <c r="S20" s="143"/>
      <c r="T20" s="143"/>
    </row>
    <row r="21" spans="1:20" x14ac:dyDescent="0.2">
      <c r="A21" s="143"/>
      <c r="B21" s="36">
        <v>115</v>
      </c>
      <c r="C21" s="33" t="s">
        <v>96</v>
      </c>
      <c r="D21" s="143"/>
      <c r="E21" s="143"/>
      <c r="F21" s="96">
        <f>SUMIF('Historical Expenditure-Volumes'!$B$9:$B$22,'Gross Capex'!$B21,'Historical Expenditure-Volumes'!E$9:E$22)/1000+SUMIF('Historical Contributions'!$B$8:$B$20,'Gross Capex'!$B21,'Historical Contributions'!D$8:D$20)/1000</f>
        <v>0</v>
      </c>
      <c r="G21" s="96">
        <f>SUMIF('Historical Expenditure-Volumes'!$B$9:$B$22,'Gross Capex'!$B21,'Historical Expenditure-Volumes'!F$9:F$22)/1000+SUMIF('Historical Contributions'!$B$8:$B$20,'Gross Capex'!$B21,'Historical Contributions'!E$8:E$20)/1000</f>
        <v>0</v>
      </c>
      <c r="H21" s="96">
        <f>SUMIF('Historical Expenditure-Volumes'!$B$9:$B$22,'Gross Capex'!$B21,'Historical Expenditure-Volumes'!G$9:G$22)/1000+SUMIF('Historical Contributions'!$B$8:$B$20,'Gross Capex'!$B21,'Historical Contributions'!F$8:F$20)/1000</f>
        <v>0</v>
      </c>
      <c r="I21" s="185">
        <f ca="1">SUMIF('Forecast Expenditure-Volumes'!$B$92:$B$104,'Gross Capex'!$B21,'Forecast Expenditure-Volumes'!G$92:G$104)/1000+SUMIF('Forecast Contributions'!$B$8:$B$20,'Gross Capex'!$B21,'Forecast Contributions'!G$8:G$20)/1000</f>
        <v>0</v>
      </c>
      <c r="J21" s="185">
        <f ca="1">SUMIF('Forecast Expenditure-Volumes'!$B$92:$B$104,'Gross Capex'!$B21,'Forecast Expenditure-Volumes'!H$92:H$104)/1000+SUMIF('Forecast Contributions'!$B$8:$B$20,'Gross Capex'!$B21,'Forecast Contributions'!H$8:H$20)/1000</f>
        <v>0</v>
      </c>
      <c r="K21" s="185">
        <f ca="1">SUMIF('Forecast Expenditure-Volumes'!$B$92:$B$104,'Gross Capex'!$B21,'Forecast Expenditure-Volumes'!I$92:I$104)/1000+SUMIF('Forecast Contributions'!$B$8:$B$20,'Gross Capex'!$B21,'Forecast Contributions'!I$8:I$20)/1000</f>
        <v>0</v>
      </c>
      <c r="L21" s="185">
        <f ca="1">SUMIF('Forecast Expenditure-Volumes'!$B$92:$B$104,'Gross Capex'!$B21,'Forecast Expenditure-Volumes'!J$92:J$104)/1000+SUMIF('Forecast Contributions'!$B$8:$B$20,'Gross Capex'!$B21,'Forecast Contributions'!J$8:J$20)/1000</f>
        <v>0</v>
      </c>
      <c r="M21" s="185">
        <f ca="1">SUMIF('Forecast Expenditure-Volumes'!$B$92:$B$104,'Gross Capex'!$B21,'Forecast Expenditure-Volumes'!K$92:K$104)/1000+SUMIF('Forecast Contributions'!$B$8:$B$20,'Gross Capex'!$B21,'Forecast Contributions'!K$8:K$20)/1000</f>
        <v>0</v>
      </c>
      <c r="N21" s="185">
        <f ca="1">SUMIF('Forecast Expenditure-Volumes'!$B$92:$B$104,'Gross Capex'!$B21,'Forecast Expenditure-Volumes'!L$92:L$104)/1000+SUMIF('Forecast Contributions'!$B$8:$B$20,'Gross Capex'!$B21,'Forecast Contributions'!L$8:L$20)/1000</f>
        <v>0</v>
      </c>
      <c r="O21" s="185">
        <f ca="1">SUMIF('Forecast Expenditure-Volumes'!$B$92:$B$104,'Gross Capex'!$B21,'Forecast Expenditure-Volumes'!M$92:M$104)/1000+SUMIF('Forecast Contributions'!$B$8:$B$20,'Gross Capex'!$B21,'Forecast Contributions'!M$8:M$20)/1000</f>
        <v>0</v>
      </c>
      <c r="P21" s="143"/>
      <c r="Q21" s="143"/>
      <c r="R21" s="143"/>
      <c r="S21" s="143"/>
      <c r="T21" s="143"/>
    </row>
    <row r="22" spans="1:20" x14ac:dyDescent="0.2">
      <c r="A22" s="143"/>
      <c r="B22" s="36">
        <v>116</v>
      </c>
      <c r="C22" s="33" t="s">
        <v>97</v>
      </c>
      <c r="D22" s="143"/>
      <c r="E22" s="143"/>
      <c r="F22" s="96">
        <f>SUMIF('Historical Expenditure-Volumes'!$B$9:$B$22,'Gross Capex'!$B22,'Historical Expenditure-Volumes'!E$9:E$22)/1000+SUMIF('Historical Contributions'!$B$8:$B$20,'Gross Capex'!$B22,'Historical Contributions'!D$8:D$20)/1000</f>
        <v>24569.806959999998</v>
      </c>
      <c r="G22" s="96">
        <f>SUMIF('Historical Expenditure-Volumes'!$B$9:$B$22,'Gross Capex'!$B22,'Historical Expenditure-Volumes'!F$9:F$22)/1000+SUMIF('Historical Contributions'!$B$8:$B$20,'Gross Capex'!$B22,'Historical Contributions'!E$8:E$20)/1000</f>
        <v>24457.986164999998</v>
      </c>
      <c r="H22" s="96">
        <f>SUMIF('Historical Expenditure-Volumes'!$B$9:$B$22,'Gross Capex'!$B22,'Historical Expenditure-Volumes'!G$9:G$22)/1000+SUMIF('Historical Contributions'!$B$8:$B$20,'Gross Capex'!$B22,'Historical Contributions'!F$8:F$20)/1000</f>
        <v>24604.772578994878</v>
      </c>
      <c r="I22" s="185">
        <f ca="1">SUMIF('Forecast Expenditure-Volumes'!$B$92:$B$104,'Gross Capex'!$B22,'Forecast Expenditure-Volumes'!G$92:G$104)/1000+SUMIF('Forecast Contributions'!$B$8:$B$20,'Gross Capex'!$B22,'Forecast Contributions'!G$8:G$20)/1000</f>
        <v>39691.380098379865</v>
      </c>
      <c r="J22" s="185">
        <f ca="1">SUMIF('Forecast Expenditure-Volumes'!$B$92:$B$104,'Gross Capex'!$B22,'Forecast Expenditure-Volumes'!H$92:H$104)/1000+SUMIF('Forecast Contributions'!$B$8:$B$20,'Gross Capex'!$B22,'Forecast Contributions'!H$8:H$20)/1000</f>
        <v>34462.202283690902</v>
      </c>
      <c r="K22" s="185">
        <f ca="1">SUMIF('Forecast Expenditure-Volumes'!$B$92:$B$104,'Gross Capex'!$B22,'Forecast Expenditure-Volumes'!I$92:I$104)/1000+SUMIF('Forecast Contributions'!$B$8:$B$20,'Gross Capex'!$B22,'Forecast Contributions'!I$8:I$20)/1000</f>
        <v>33433.183078102062</v>
      </c>
      <c r="L22" s="185">
        <f ca="1">SUMIF('Forecast Expenditure-Volumes'!$B$92:$B$104,'Gross Capex'!$B22,'Forecast Expenditure-Volumes'!J$92:J$104)/1000+SUMIF('Forecast Contributions'!$B$8:$B$20,'Gross Capex'!$B22,'Forecast Contributions'!J$8:J$20)/1000</f>
        <v>36552.161314799829</v>
      </c>
      <c r="M22" s="185">
        <f ca="1">SUMIF('Forecast Expenditure-Volumes'!$B$92:$B$104,'Gross Capex'!$B22,'Forecast Expenditure-Volumes'!K$92:K$104)/1000+SUMIF('Forecast Contributions'!$B$8:$B$20,'Gross Capex'!$B22,'Forecast Contributions'!K$8:K$20)/1000</f>
        <v>26437.113760385862</v>
      </c>
      <c r="N22" s="185">
        <f ca="1">SUMIF('Forecast Expenditure-Volumes'!$B$92:$B$104,'Gross Capex'!$B22,'Forecast Expenditure-Volumes'!L$92:L$104)/1000+SUMIF('Forecast Contributions'!$B$8:$B$20,'Gross Capex'!$B22,'Forecast Contributions'!L$8:L$20)/1000</f>
        <v>26612.894696056861</v>
      </c>
      <c r="O22" s="185">
        <f ca="1">SUMIF('Forecast Expenditure-Volumes'!$B$92:$B$104,'Gross Capex'!$B22,'Forecast Expenditure-Volumes'!M$92:M$104)/1000+SUMIF('Forecast Contributions'!$B$8:$B$20,'Gross Capex'!$B22,'Forecast Contributions'!M$8:M$20)/1000</f>
        <v>26689.321189826856</v>
      </c>
      <c r="P22" s="143"/>
      <c r="Q22" s="75"/>
      <c r="R22" s="75"/>
      <c r="S22" s="143"/>
      <c r="T22" s="143"/>
    </row>
    <row r="23" spans="1:20" x14ac:dyDescent="0.2">
      <c r="A23" s="143"/>
      <c r="B23" s="36">
        <v>118</v>
      </c>
      <c r="C23" s="33" t="s">
        <v>98</v>
      </c>
      <c r="D23" s="143"/>
      <c r="E23" s="143"/>
      <c r="F23" s="96">
        <f>SUMIF('Historical Expenditure-Volumes'!$B$9:$B$22,'Gross Capex'!$B23,'Historical Expenditure-Volumes'!E$9:E$22)/1000+SUMIF('Historical Contributions'!$B$8:$B$20,'Gross Capex'!$B23,'Historical Contributions'!D$8:D$20)/1000</f>
        <v>31.120570000000001</v>
      </c>
      <c r="G23" s="96">
        <f>SUMIF('Historical Expenditure-Volumes'!$B$9:$B$22,'Gross Capex'!$B23,'Historical Expenditure-Volumes'!F$9:F$22)/1000+SUMIF('Historical Contributions'!$B$8:$B$20,'Gross Capex'!$B23,'Historical Contributions'!E$8:E$20)/1000</f>
        <v>24.871389999999998</v>
      </c>
      <c r="H23" s="96">
        <f>SUMIF('Historical Expenditure-Volumes'!$B$9:$B$22,'Gross Capex'!$B23,'Historical Expenditure-Volumes'!G$9:G$22)/1000+SUMIF('Historical Contributions'!$B$8:$B$20,'Gross Capex'!$B23,'Historical Contributions'!F$8:F$20)/1000</f>
        <v>7.2837161793154914</v>
      </c>
      <c r="I23" s="185">
        <f ca="1">SUMIF('Forecast Expenditure-Volumes'!$B$92:$B$104,'Gross Capex'!$B23,'Forecast Expenditure-Volumes'!G$92:G$104)/1000+SUMIF('Forecast Contributions'!$B$8:$B$20,'Gross Capex'!$B23,'Forecast Contributions'!G$8:G$20)/1000</f>
        <v>28.87038275371961</v>
      </c>
      <c r="J23" s="185">
        <f ca="1">SUMIF('Forecast Expenditure-Volumes'!$B$92:$B$104,'Gross Capex'!$B23,'Forecast Expenditure-Volumes'!H$92:H$104)/1000+SUMIF('Forecast Contributions'!$B$8:$B$20,'Gross Capex'!$B23,'Forecast Contributions'!H$8:H$20)/1000</f>
        <v>28.87038275371961</v>
      </c>
      <c r="K23" s="185">
        <f ca="1">SUMIF('Forecast Expenditure-Volumes'!$B$92:$B$104,'Gross Capex'!$B23,'Forecast Expenditure-Volumes'!I$92:I$104)/1000+SUMIF('Forecast Contributions'!$B$8:$B$20,'Gross Capex'!$B23,'Forecast Contributions'!I$8:I$20)/1000</f>
        <v>16.726523000291358</v>
      </c>
      <c r="L23" s="185">
        <f ca="1">SUMIF('Forecast Expenditure-Volumes'!$B$92:$B$104,'Gross Capex'!$B23,'Forecast Expenditure-Volumes'!J$92:J$104)/1000+SUMIF('Forecast Contributions'!$B$8:$B$20,'Gross Capex'!$B23,'Forecast Contributions'!J$8:J$20)/1000</f>
        <v>28.87038275371961</v>
      </c>
      <c r="M23" s="185">
        <f ca="1">SUMIF('Forecast Expenditure-Volumes'!$B$92:$B$104,'Gross Capex'!$B23,'Forecast Expenditure-Volumes'!K$92:K$104)/1000+SUMIF('Forecast Contributions'!$B$8:$B$20,'Gross Capex'!$B23,'Forecast Contributions'!K$8:K$20)/1000</f>
        <v>28.87038275371961</v>
      </c>
      <c r="N23" s="185">
        <f ca="1">SUMIF('Forecast Expenditure-Volumes'!$B$92:$B$104,'Gross Capex'!$B23,'Forecast Expenditure-Volumes'!L$92:L$104)/1000+SUMIF('Forecast Contributions'!$B$8:$B$20,'Gross Capex'!$B23,'Forecast Contributions'!L$8:L$20)/1000</f>
        <v>28.87038275371961</v>
      </c>
      <c r="O23" s="185">
        <f ca="1">SUMIF('Forecast Expenditure-Volumes'!$B$92:$B$104,'Gross Capex'!$B23,'Forecast Expenditure-Volumes'!M$92:M$104)/1000+SUMIF('Forecast Contributions'!$B$8:$B$20,'Gross Capex'!$B23,'Forecast Contributions'!M$8:M$20)/1000</f>
        <v>28.87038275371961</v>
      </c>
      <c r="P23" s="143"/>
      <c r="Q23" s="75"/>
      <c r="R23" s="143"/>
      <c r="S23" s="143"/>
      <c r="T23" s="143"/>
    </row>
    <row r="24" spans="1:20" x14ac:dyDescent="0.2">
      <c r="A24" s="143"/>
      <c r="B24" s="36">
        <v>119</v>
      </c>
      <c r="C24" s="33" t="s">
        <v>99</v>
      </c>
      <c r="D24" s="143"/>
      <c r="E24" s="143"/>
      <c r="F24" s="96">
        <f>SUMIF('Historical Expenditure-Volumes'!$B$9:$B$22,'Gross Capex'!$B24,'Historical Expenditure-Volumes'!E$9:E$22)/1000+SUMIF('Historical Contributions'!$B$8:$B$20,'Gross Capex'!$B24,'Historical Contributions'!D$8:D$20)/1000</f>
        <v>0</v>
      </c>
      <c r="G24" s="96">
        <f>SUMIF('Historical Expenditure-Volumes'!$B$9:$B$22,'Gross Capex'!$B24,'Historical Expenditure-Volumes'!F$9:F$22)/1000+SUMIF('Historical Contributions'!$B$8:$B$20,'Gross Capex'!$B24,'Historical Contributions'!E$8:E$20)/1000</f>
        <v>0</v>
      </c>
      <c r="H24" s="96">
        <f>SUMIF('Historical Expenditure-Volumes'!$B$9:$B$22,'Gross Capex'!$B24,'Historical Expenditure-Volumes'!G$9:G$22)/1000+SUMIF('Historical Contributions'!$B$8:$B$20,'Gross Capex'!$B24,'Historical Contributions'!F$8:F$20)/1000</f>
        <v>0</v>
      </c>
      <c r="I24" s="185">
        <f>SUMIF('Forecast Expenditure-Volumes'!$B$92:$B$104,'Gross Capex'!$B24,'Forecast Expenditure-Volumes'!G$92:G$104)/1000+SUMIF('Forecast Contributions'!$B$8:$B$20,'Gross Capex'!$B24,'Forecast Contributions'!G$8:G$20)/1000</f>
        <v>0</v>
      </c>
      <c r="J24" s="185">
        <f>SUMIF('Forecast Expenditure-Volumes'!$B$92:$B$104,'Gross Capex'!$B24,'Forecast Expenditure-Volumes'!H$92:H$104)/1000+SUMIF('Forecast Contributions'!$B$8:$B$20,'Gross Capex'!$B24,'Forecast Contributions'!H$8:H$20)/1000</f>
        <v>0</v>
      </c>
      <c r="K24" s="185">
        <f>SUMIF('Forecast Expenditure-Volumes'!$B$92:$B$104,'Gross Capex'!$B24,'Forecast Expenditure-Volumes'!I$92:I$104)/1000+SUMIF('Forecast Contributions'!$B$8:$B$20,'Gross Capex'!$B24,'Forecast Contributions'!I$8:I$20)/1000</f>
        <v>0</v>
      </c>
      <c r="L24" s="185">
        <f>SUMIF('Forecast Expenditure-Volumes'!$B$92:$B$104,'Gross Capex'!$B24,'Forecast Expenditure-Volumes'!J$92:J$104)/1000+SUMIF('Forecast Contributions'!$B$8:$B$20,'Gross Capex'!$B24,'Forecast Contributions'!J$8:J$20)/1000</f>
        <v>0</v>
      </c>
      <c r="M24" s="185">
        <f>SUMIF('Forecast Expenditure-Volumes'!$B$92:$B$104,'Gross Capex'!$B24,'Forecast Expenditure-Volumes'!K$92:K$104)/1000+SUMIF('Forecast Contributions'!$B$8:$B$20,'Gross Capex'!$B24,'Forecast Contributions'!K$8:K$20)/1000</f>
        <v>0</v>
      </c>
      <c r="N24" s="185">
        <f>SUMIF('Forecast Expenditure-Volumes'!$B$92:$B$104,'Gross Capex'!$B24,'Forecast Expenditure-Volumes'!L$92:L$104)/1000+SUMIF('Forecast Contributions'!$B$8:$B$20,'Gross Capex'!$B24,'Forecast Contributions'!L$8:L$20)/1000</f>
        <v>0</v>
      </c>
      <c r="O24" s="185">
        <f>SUMIF('Forecast Expenditure-Volumes'!$B$92:$B$104,'Gross Capex'!$B24,'Forecast Expenditure-Volumes'!M$92:M$104)/1000+SUMIF('Forecast Contributions'!$B$8:$B$20,'Gross Capex'!$B24,'Forecast Contributions'!M$8:M$20)/1000</f>
        <v>0</v>
      </c>
      <c r="P24" s="143"/>
      <c r="Q24" s="75"/>
      <c r="R24" s="143"/>
      <c r="S24" s="143"/>
      <c r="T24" s="143"/>
    </row>
    <row r="25" spans="1:20" x14ac:dyDescent="0.2">
      <c r="A25" s="143"/>
      <c r="B25" s="36">
        <v>120</v>
      </c>
      <c r="C25" s="33" t="s">
        <v>100</v>
      </c>
      <c r="D25" s="143"/>
      <c r="E25" s="143"/>
      <c r="F25" s="96">
        <f>SUMIF('Historical Expenditure-Volumes'!$B$9:$B$22,'Gross Capex'!$B25,'Historical Expenditure-Volumes'!E$9:E$22)/1000+SUMIF('Historical Contributions'!$B$8:$B$20,'Gross Capex'!$B25,'Historical Contributions'!D$8:D$20)/1000</f>
        <v>0</v>
      </c>
      <c r="G25" s="96">
        <f>SUMIF('Historical Expenditure-Volumes'!$B$9:$B$22,'Gross Capex'!$B25,'Historical Expenditure-Volumes'!F$9:F$22)/1000+SUMIF('Historical Contributions'!$B$8:$B$20,'Gross Capex'!$B25,'Historical Contributions'!E$8:E$20)/1000</f>
        <v>0</v>
      </c>
      <c r="H25" s="96">
        <f>SUMIF('Historical Expenditure-Volumes'!$B$9:$B$22,'Gross Capex'!$B25,'Historical Expenditure-Volumes'!G$9:G$22)/1000+SUMIF('Historical Contributions'!$B$8:$B$20,'Gross Capex'!$B25,'Historical Contributions'!F$8:F$20)/1000</f>
        <v>0</v>
      </c>
      <c r="I25" s="185">
        <f>SUMIF('Forecast Expenditure-Volumes'!$B$92:$B$104,'Gross Capex'!$B25,'Forecast Expenditure-Volumes'!G$92:G$104)/1000+SUMIF('Forecast Contributions'!$B$8:$B$20,'Gross Capex'!$B25,'Forecast Contributions'!G$8:G$20)/1000</f>
        <v>0</v>
      </c>
      <c r="J25" s="185">
        <f>SUMIF('Forecast Expenditure-Volumes'!$B$92:$B$104,'Gross Capex'!$B25,'Forecast Expenditure-Volumes'!H$92:H$104)/1000+SUMIF('Forecast Contributions'!$B$8:$B$20,'Gross Capex'!$B25,'Forecast Contributions'!H$8:H$20)/1000</f>
        <v>0</v>
      </c>
      <c r="K25" s="185">
        <f>SUMIF('Forecast Expenditure-Volumes'!$B$92:$B$104,'Gross Capex'!$B25,'Forecast Expenditure-Volumes'!I$92:I$104)/1000+SUMIF('Forecast Contributions'!$B$8:$B$20,'Gross Capex'!$B25,'Forecast Contributions'!I$8:I$20)/1000</f>
        <v>0</v>
      </c>
      <c r="L25" s="185">
        <f>SUMIF('Forecast Expenditure-Volumes'!$B$92:$B$104,'Gross Capex'!$B25,'Forecast Expenditure-Volumes'!J$92:J$104)/1000+SUMIF('Forecast Contributions'!$B$8:$B$20,'Gross Capex'!$B25,'Forecast Contributions'!J$8:J$20)/1000</f>
        <v>0</v>
      </c>
      <c r="M25" s="185">
        <f>SUMIF('Forecast Expenditure-Volumes'!$B$92:$B$104,'Gross Capex'!$B25,'Forecast Expenditure-Volumes'!K$92:K$104)/1000+SUMIF('Forecast Contributions'!$B$8:$B$20,'Gross Capex'!$B25,'Forecast Contributions'!K$8:K$20)/1000</f>
        <v>0</v>
      </c>
      <c r="N25" s="185">
        <f>SUMIF('Forecast Expenditure-Volumes'!$B$92:$B$104,'Gross Capex'!$B25,'Forecast Expenditure-Volumes'!L$92:L$104)/1000+SUMIF('Forecast Contributions'!$B$8:$B$20,'Gross Capex'!$B25,'Forecast Contributions'!L$8:L$20)/1000</f>
        <v>0</v>
      </c>
      <c r="O25" s="185">
        <f>SUMIF('Forecast Expenditure-Volumes'!$B$92:$B$104,'Gross Capex'!$B25,'Forecast Expenditure-Volumes'!M$92:M$104)/1000+SUMIF('Forecast Contributions'!$B$8:$B$20,'Gross Capex'!$B25,'Forecast Contributions'!M$8:M$20)/1000</f>
        <v>0</v>
      </c>
      <c r="P25" s="143"/>
      <c r="Q25" s="143"/>
      <c r="R25" s="143"/>
      <c r="S25" s="143"/>
      <c r="T25" s="143"/>
    </row>
    <row r="26" spans="1:20" x14ac:dyDescent="0.2">
      <c r="A26" s="143"/>
      <c r="B26" s="36">
        <v>121</v>
      </c>
      <c r="C26" s="33" t="s">
        <v>101</v>
      </c>
      <c r="D26" s="143"/>
      <c r="E26" s="143"/>
      <c r="F26" s="96">
        <f>SUMIF('Historical Expenditure-Volumes'!$B$9:$B$22,'Gross Capex'!$B26,'Historical Expenditure-Volumes'!E$9:E$22)/1000+SUMIF('Historical Contributions'!$B$8:$B$20,'Gross Capex'!$B26,'Historical Contributions'!D$8:D$20)/1000</f>
        <v>286.70226000000002</v>
      </c>
      <c r="G26" s="96">
        <f>SUMIF('Historical Expenditure-Volumes'!$B$9:$B$22,'Gross Capex'!$B26,'Historical Expenditure-Volumes'!F$9:F$22)/1000+SUMIF('Historical Contributions'!$B$8:$B$20,'Gross Capex'!$B26,'Historical Contributions'!E$8:E$20)/1000</f>
        <v>282.56122499999998</v>
      </c>
      <c r="H26" s="96">
        <f>SUMIF('Historical Expenditure-Volumes'!$B$9:$B$22,'Gross Capex'!$B26,'Historical Expenditure-Volumes'!G$9:G$22)/1000+SUMIF('Historical Contributions'!$B$8:$B$20,'Gross Capex'!$B26,'Historical Contributions'!F$8:F$20)/1000</f>
        <v>0</v>
      </c>
      <c r="I26" s="185">
        <f>SUMIF('Forecast Expenditure-Volumes'!$B$92:$B$104,'Gross Capex'!$B26,'Forecast Expenditure-Volumes'!G$92:G$104)/1000+SUMIF('Forecast Contributions'!$B$8:$B$20,'Gross Capex'!$B26,'Forecast Contributions'!G$8:G$20)/1000</f>
        <v>0</v>
      </c>
      <c r="J26" s="185">
        <f>SUMIF('Forecast Expenditure-Volumes'!$B$92:$B$104,'Gross Capex'!$B26,'Forecast Expenditure-Volumes'!H$92:H$104)/1000+SUMIF('Forecast Contributions'!$B$8:$B$20,'Gross Capex'!$B26,'Forecast Contributions'!H$8:H$20)/1000</f>
        <v>0</v>
      </c>
      <c r="K26" s="185">
        <f>SUMIF('Forecast Expenditure-Volumes'!$B$92:$B$104,'Gross Capex'!$B26,'Forecast Expenditure-Volumes'!I$92:I$104)/1000+SUMIF('Forecast Contributions'!$B$8:$B$20,'Gross Capex'!$B26,'Forecast Contributions'!I$8:I$20)/1000</f>
        <v>0</v>
      </c>
      <c r="L26" s="185">
        <f>SUMIF('Forecast Expenditure-Volumes'!$B$92:$B$104,'Gross Capex'!$B26,'Forecast Expenditure-Volumes'!J$92:J$104)/1000+SUMIF('Forecast Contributions'!$B$8:$B$20,'Gross Capex'!$B26,'Forecast Contributions'!J$8:J$20)/1000</f>
        <v>0</v>
      </c>
      <c r="M26" s="185">
        <f>SUMIF('Forecast Expenditure-Volumes'!$B$92:$B$104,'Gross Capex'!$B26,'Forecast Expenditure-Volumes'!K$92:K$104)/1000+SUMIF('Forecast Contributions'!$B$8:$B$20,'Gross Capex'!$B26,'Forecast Contributions'!K$8:K$20)/1000</f>
        <v>0</v>
      </c>
      <c r="N26" s="185">
        <f>SUMIF('Forecast Expenditure-Volumes'!$B$92:$B$104,'Gross Capex'!$B26,'Forecast Expenditure-Volumes'!L$92:L$104)/1000+SUMIF('Forecast Contributions'!$B$8:$B$20,'Gross Capex'!$B26,'Forecast Contributions'!L$8:L$20)/1000</f>
        <v>0</v>
      </c>
      <c r="O26" s="185">
        <f>SUMIF('Forecast Expenditure-Volumes'!$B$92:$B$104,'Gross Capex'!$B26,'Forecast Expenditure-Volumes'!M$92:M$104)/1000+SUMIF('Forecast Contributions'!$B$8:$B$20,'Gross Capex'!$B26,'Forecast Contributions'!M$8:M$20)/1000</f>
        <v>0</v>
      </c>
      <c r="P26" s="143"/>
      <c r="Q26" s="100"/>
      <c r="R26" s="143"/>
      <c r="S26" s="143"/>
      <c r="T26" s="143"/>
    </row>
    <row r="27" spans="1:20" x14ac:dyDescent="0.2">
      <c r="A27" s="143"/>
      <c r="B27" s="36">
        <v>122</v>
      </c>
      <c r="C27" s="33" t="s">
        <v>102</v>
      </c>
      <c r="D27" s="143"/>
      <c r="E27" s="143"/>
      <c r="F27" s="96">
        <f>SUMIF('Historical Expenditure-Volumes'!$B$9:$B$22,'Gross Capex'!$B27,'Historical Expenditure-Volumes'!E$9:E$22)/1000+SUMIF('Historical Contributions'!$B$8:$B$20,'Gross Capex'!$B27,'Historical Contributions'!D$8:D$20)/1000</f>
        <v>0</v>
      </c>
      <c r="G27" s="96">
        <f>SUMIF('Historical Expenditure-Volumes'!$B$9:$B$22,'Gross Capex'!$B27,'Historical Expenditure-Volumes'!F$9:F$22)/1000+SUMIF('Historical Contributions'!$B$8:$B$20,'Gross Capex'!$B27,'Historical Contributions'!E$8:E$20)/1000</f>
        <v>0</v>
      </c>
      <c r="H27" s="96">
        <f>SUMIF('Historical Expenditure-Volumes'!$B$9:$B$22,'Gross Capex'!$B27,'Historical Expenditure-Volumes'!G$9:G$22)/1000+SUMIF('Historical Contributions'!$B$8:$B$20,'Gross Capex'!$B27,'Historical Contributions'!F$8:F$20)/1000</f>
        <v>0</v>
      </c>
      <c r="I27" s="185">
        <f>SUMIF('Forecast Expenditure-Volumes'!$B$92:$B$104,'Gross Capex'!$B27,'Forecast Expenditure-Volumes'!G$92:G$104)/1000+SUMIF('Forecast Contributions'!$B$8:$B$20,'Gross Capex'!$B27,'Forecast Contributions'!G$8:G$20)/1000</f>
        <v>0</v>
      </c>
      <c r="J27" s="185">
        <f>SUMIF('Forecast Expenditure-Volumes'!$B$92:$B$104,'Gross Capex'!$B27,'Forecast Expenditure-Volumes'!H$92:H$104)/1000+SUMIF('Forecast Contributions'!$B$8:$B$20,'Gross Capex'!$B27,'Forecast Contributions'!H$8:H$20)/1000</f>
        <v>0</v>
      </c>
      <c r="K27" s="185">
        <f>SUMIF('Forecast Expenditure-Volumes'!$B$92:$B$104,'Gross Capex'!$B27,'Forecast Expenditure-Volumes'!I$92:I$104)/1000+SUMIF('Forecast Contributions'!$B$8:$B$20,'Gross Capex'!$B27,'Forecast Contributions'!I$8:I$20)/1000</f>
        <v>0</v>
      </c>
      <c r="L27" s="185">
        <f>SUMIF('Forecast Expenditure-Volumes'!$B$92:$B$104,'Gross Capex'!$B27,'Forecast Expenditure-Volumes'!J$92:J$104)/1000+SUMIF('Forecast Contributions'!$B$8:$B$20,'Gross Capex'!$B27,'Forecast Contributions'!J$8:J$20)/1000</f>
        <v>0</v>
      </c>
      <c r="M27" s="185">
        <f>SUMIF('Forecast Expenditure-Volumes'!$B$92:$B$104,'Gross Capex'!$B27,'Forecast Expenditure-Volumes'!K$92:K$104)/1000+SUMIF('Forecast Contributions'!$B$8:$B$20,'Gross Capex'!$B27,'Forecast Contributions'!K$8:K$20)/1000</f>
        <v>0</v>
      </c>
      <c r="N27" s="185">
        <f>SUMIF('Forecast Expenditure-Volumes'!$B$92:$B$104,'Gross Capex'!$B27,'Forecast Expenditure-Volumes'!L$92:L$104)/1000+SUMIF('Forecast Contributions'!$B$8:$B$20,'Gross Capex'!$B27,'Forecast Contributions'!L$8:L$20)/1000</f>
        <v>0</v>
      </c>
      <c r="O27" s="185">
        <f>SUMIF('Forecast Expenditure-Volumes'!$B$92:$B$104,'Gross Capex'!$B27,'Forecast Expenditure-Volumes'!M$92:M$104)/1000+SUMIF('Forecast Contributions'!$B$8:$B$20,'Gross Capex'!$B27,'Forecast Contributions'!M$8:M$20)/1000</f>
        <v>0</v>
      </c>
      <c r="P27" s="143"/>
      <c r="Q27" s="143"/>
      <c r="R27" s="143"/>
      <c r="S27" s="143"/>
      <c r="T27" s="143"/>
    </row>
    <row r="28" spans="1:20" x14ac:dyDescent="0.2">
      <c r="A28" s="143"/>
      <c r="B28" s="36">
        <v>123</v>
      </c>
      <c r="C28" s="33" t="s">
        <v>103</v>
      </c>
      <c r="D28" s="143"/>
      <c r="E28" s="143"/>
      <c r="F28" s="96">
        <f>SUMIF('Historical Expenditure-Volumes'!$B$9:$B$22,'Gross Capex'!$B28,'Historical Expenditure-Volumes'!E$9:E$22)/1000+SUMIF('Historical Contributions'!$B$8:$B$20,'Gross Capex'!$B28,'Historical Contributions'!D$8:D$20)/1000</f>
        <v>0</v>
      </c>
      <c r="G28" s="96">
        <f>SUMIF('Historical Expenditure-Volumes'!$B$9:$B$22,'Gross Capex'!$B28,'Historical Expenditure-Volumes'!F$9:F$22)/1000+SUMIF('Historical Contributions'!$B$8:$B$20,'Gross Capex'!$B28,'Historical Contributions'!E$8:E$20)/1000</f>
        <v>0</v>
      </c>
      <c r="H28" s="96">
        <f>SUMIF('Historical Expenditure-Volumes'!$B$9:$B$22,'Gross Capex'!$B28,'Historical Expenditure-Volumes'!G$9:G$22)/1000+SUMIF('Historical Contributions'!$B$8:$B$20,'Gross Capex'!$B28,'Historical Contributions'!F$8:F$20)/1000</f>
        <v>0</v>
      </c>
      <c r="I28" s="185">
        <f>SUMIF('Forecast Expenditure-Volumes'!$B$92:$B$104,'Gross Capex'!$B28,'Forecast Expenditure-Volumes'!G$92:G$104)/1000+SUMIF('Forecast Contributions'!$B$8:$B$20,'Gross Capex'!$B28,'Forecast Contributions'!G$8:G$20)/1000</f>
        <v>0</v>
      </c>
      <c r="J28" s="185">
        <f>SUMIF('Forecast Expenditure-Volumes'!$B$92:$B$104,'Gross Capex'!$B28,'Forecast Expenditure-Volumes'!H$92:H$104)/1000+SUMIF('Forecast Contributions'!$B$8:$B$20,'Gross Capex'!$B28,'Forecast Contributions'!H$8:H$20)/1000</f>
        <v>0</v>
      </c>
      <c r="K28" s="185">
        <f>SUMIF('Forecast Expenditure-Volumes'!$B$92:$B$104,'Gross Capex'!$B28,'Forecast Expenditure-Volumes'!I$92:I$104)/1000+SUMIF('Forecast Contributions'!$B$8:$B$20,'Gross Capex'!$B28,'Forecast Contributions'!I$8:I$20)/1000</f>
        <v>0</v>
      </c>
      <c r="L28" s="185">
        <f>SUMIF('Forecast Expenditure-Volumes'!$B$92:$B$104,'Gross Capex'!$B28,'Forecast Expenditure-Volumes'!J$92:J$104)/1000+SUMIF('Forecast Contributions'!$B$8:$B$20,'Gross Capex'!$B28,'Forecast Contributions'!J$8:J$20)/1000</f>
        <v>0</v>
      </c>
      <c r="M28" s="185">
        <f>SUMIF('Forecast Expenditure-Volumes'!$B$92:$B$104,'Gross Capex'!$B28,'Forecast Expenditure-Volumes'!K$92:K$104)/1000+SUMIF('Forecast Contributions'!$B$8:$B$20,'Gross Capex'!$B28,'Forecast Contributions'!K$8:K$20)/1000</f>
        <v>0</v>
      </c>
      <c r="N28" s="185">
        <f>SUMIF('Forecast Expenditure-Volumes'!$B$92:$B$104,'Gross Capex'!$B28,'Forecast Expenditure-Volumes'!L$92:L$104)/1000+SUMIF('Forecast Contributions'!$B$8:$B$20,'Gross Capex'!$B28,'Forecast Contributions'!L$8:L$20)/1000</f>
        <v>0</v>
      </c>
      <c r="O28" s="185">
        <f>SUMIF('Forecast Expenditure-Volumes'!$B$92:$B$104,'Gross Capex'!$B28,'Forecast Expenditure-Volumes'!M$92:M$104)/1000+SUMIF('Forecast Contributions'!$B$8:$B$20,'Gross Capex'!$B28,'Forecast Contributions'!M$8:M$20)/1000</f>
        <v>0</v>
      </c>
      <c r="P28" s="143"/>
      <c r="Q28" s="143"/>
      <c r="R28" s="143"/>
      <c r="S28" s="143"/>
      <c r="T28" s="143"/>
    </row>
    <row r="29" spans="1:20" x14ac:dyDescent="0.2">
      <c r="A29" s="143"/>
      <c r="B29" s="36">
        <v>124</v>
      </c>
      <c r="C29" s="33" t="s">
        <v>104</v>
      </c>
      <c r="D29" s="143"/>
      <c r="E29" s="143"/>
      <c r="F29" s="96">
        <f>SUMIF('Historical Expenditure-Volumes'!$B$9:$B$22,'Gross Capex'!$B29,'Historical Expenditure-Volumes'!E$9:E$22)/1000+SUMIF('Historical Contributions'!$B$8:$B$20,'Gross Capex'!$B29,'Historical Contributions'!D$8:D$20)/1000</f>
        <v>0</v>
      </c>
      <c r="G29" s="96">
        <f>SUMIF('Historical Expenditure-Volumes'!$B$9:$B$22,'Gross Capex'!$B29,'Historical Expenditure-Volumes'!F$9:F$22)/1000+SUMIF('Historical Contributions'!$B$8:$B$20,'Gross Capex'!$B29,'Historical Contributions'!E$8:E$20)/1000</f>
        <v>0</v>
      </c>
      <c r="H29" s="96">
        <f>SUMIF('Historical Expenditure-Volumes'!$B$9:$B$22,'Gross Capex'!$B29,'Historical Expenditure-Volumes'!G$9:G$22)/1000+SUMIF('Historical Contributions'!$B$8:$B$20,'Gross Capex'!$B29,'Historical Contributions'!F$8:F$20)/1000</f>
        <v>0</v>
      </c>
      <c r="I29" s="185">
        <f>SUMIF('Forecast Expenditure-Volumes'!$B$92:$B$104,'Gross Capex'!$B29,'Forecast Expenditure-Volumes'!G$92:G$104)/1000+SUMIF('Forecast Contributions'!$B$8:$B$20,'Gross Capex'!$B29,'Forecast Contributions'!G$8:G$20)/1000</f>
        <v>0</v>
      </c>
      <c r="J29" s="185">
        <f>SUMIF('Forecast Expenditure-Volumes'!$B$92:$B$104,'Gross Capex'!$B29,'Forecast Expenditure-Volumes'!H$92:H$104)/1000+SUMIF('Forecast Contributions'!$B$8:$B$20,'Gross Capex'!$B29,'Forecast Contributions'!H$8:H$20)/1000</f>
        <v>0</v>
      </c>
      <c r="K29" s="185">
        <f>SUMIF('Forecast Expenditure-Volumes'!$B$92:$B$104,'Gross Capex'!$B29,'Forecast Expenditure-Volumes'!I$92:I$104)/1000+SUMIF('Forecast Contributions'!$B$8:$B$20,'Gross Capex'!$B29,'Forecast Contributions'!I$8:I$20)/1000</f>
        <v>0</v>
      </c>
      <c r="L29" s="185">
        <f>SUMIF('Forecast Expenditure-Volumes'!$B$92:$B$104,'Gross Capex'!$B29,'Forecast Expenditure-Volumes'!J$92:J$104)/1000+SUMIF('Forecast Contributions'!$B$8:$B$20,'Gross Capex'!$B29,'Forecast Contributions'!J$8:J$20)/1000</f>
        <v>0</v>
      </c>
      <c r="M29" s="185">
        <f>SUMIF('Forecast Expenditure-Volumes'!$B$92:$B$104,'Gross Capex'!$B29,'Forecast Expenditure-Volumes'!K$92:K$104)/1000+SUMIF('Forecast Contributions'!$B$8:$B$20,'Gross Capex'!$B29,'Forecast Contributions'!K$8:K$20)/1000</f>
        <v>0</v>
      </c>
      <c r="N29" s="185">
        <f>SUMIF('Forecast Expenditure-Volumes'!$B$92:$B$104,'Gross Capex'!$B29,'Forecast Expenditure-Volumes'!L$92:L$104)/1000+SUMIF('Forecast Contributions'!$B$8:$B$20,'Gross Capex'!$B29,'Forecast Contributions'!L$8:L$20)/1000</f>
        <v>0</v>
      </c>
      <c r="O29" s="185">
        <f>SUMIF('Forecast Expenditure-Volumes'!$B$92:$B$104,'Gross Capex'!$B29,'Forecast Expenditure-Volumes'!M$92:M$104)/1000+SUMIF('Forecast Contributions'!$B$8:$B$20,'Gross Capex'!$B29,'Forecast Contributions'!M$8:M$20)/1000</f>
        <v>0</v>
      </c>
      <c r="P29" s="143"/>
      <c r="Q29" s="143"/>
      <c r="R29" s="143"/>
      <c r="S29" s="143"/>
      <c r="T29" s="143"/>
    </row>
    <row r="30" spans="1:20" x14ac:dyDescent="0.2">
      <c r="A30" s="143"/>
      <c r="B30" s="36">
        <v>125</v>
      </c>
      <c r="C30" s="33" t="s">
        <v>105</v>
      </c>
      <c r="D30" s="143"/>
      <c r="E30" s="143"/>
      <c r="F30" s="96">
        <f>SUMIF('Historical Expenditure-Volumes'!$B$9:$B$22,'Gross Capex'!$B30,'Historical Expenditure-Volumes'!E$9:E$22)/1000+SUMIF('Historical Contributions'!$B$8:$B$20,'Gross Capex'!$B30,'Historical Contributions'!D$8:D$20)/1000</f>
        <v>0</v>
      </c>
      <c r="G30" s="96">
        <f>SUMIF('Historical Expenditure-Volumes'!$B$9:$B$22,'Gross Capex'!$B30,'Historical Expenditure-Volumes'!F$9:F$22)/1000+SUMIF('Historical Contributions'!$B$8:$B$20,'Gross Capex'!$B30,'Historical Contributions'!E$8:E$20)/1000</f>
        <v>0</v>
      </c>
      <c r="H30" s="96">
        <f>SUMIF('Historical Expenditure-Volumes'!$B$9:$B$22,'Gross Capex'!$B30,'Historical Expenditure-Volumes'!G$9:G$22)/1000+SUMIF('Historical Contributions'!$B$8:$B$20,'Gross Capex'!$B30,'Historical Contributions'!F$8:F$20)/1000</f>
        <v>0</v>
      </c>
      <c r="I30" s="185">
        <f>SUMIF('Forecast Expenditure-Volumes'!$B$92:$B$104,'Gross Capex'!$B30,'Forecast Expenditure-Volumes'!G$92:G$104)/1000+SUMIF('Forecast Contributions'!$B$8:$B$20,'Gross Capex'!$B30,'Forecast Contributions'!G$8:G$20)/1000</f>
        <v>0</v>
      </c>
      <c r="J30" s="185">
        <f>SUMIF('Forecast Expenditure-Volumes'!$B$92:$B$104,'Gross Capex'!$B30,'Forecast Expenditure-Volumes'!H$92:H$104)/1000+SUMIF('Forecast Contributions'!$B$8:$B$20,'Gross Capex'!$B30,'Forecast Contributions'!H$8:H$20)/1000</f>
        <v>0</v>
      </c>
      <c r="K30" s="185">
        <f>SUMIF('Forecast Expenditure-Volumes'!$B$92:$B$104,'Gross Capex'!$B30,'Forecast Expenditure-Volumes'!I$92:I$104)/1000+SUMIF('Forecast Contributions'!$B$8:$B$20,'Gross Capex'!$B30,'Forecast Contributions'!I$8:I$20)/1000</f>
        <v>0</v>
      </c>
      <c r="L30" s="185">
        <f>SUMIF('Forecast Expenditure-Volumes'!$B$92:$B$104,'Gross Capex'!$B30,'Forecast Expenditure-Volumes'!J$92:J$104)/1000+SUMIF('Forecast Contributions'!$B$8:$B$20,'Gross Capex'!$B30,'Forecast Contributions'!J$8:J$20)/1000</f>
        <v>0</v>
      </c>
      <c r="M30" s="185">
        <f>SUMIF('Forecast Expenditure-Volumes'!$B$92:$B$104,'Gross Capex'!$B30,'Forecast Expenditure-Volumes'!K$92:K$104)/1000+SUMIF('Forecast Contributions'!$B$8:$B$20,'Gross Capex'!$B30,'Forecast Contributions'!K$8:K$20)/1000</f>
        <v>0</v>
      </c>
      <c r="N30" s="185">
        <f>SUMIF('Forecast Expenditure-Volumes'!$B$92:$B$104,'Gross Capex'!$B30,'Forecast Expenditure-Volumes'!L$92:L$104)/1000+SUMIF('Forecast Contributions'!$B$8:$B$20,'Gross Capex'!$B30,'Forecast Contributions'!L$8:L$20)/1000</f>
        <v>0</v>
      </c>
      <c r="O30" s="185">
        <f>SUMIF('Forecast Expenditure-Volumes'!$B$92:$B$104,'Gross Capex'!$B30,'Forecast Expenditure-Volumes'!M$92:M$104)/1000+SUMIF('Forecast Contributions'!$B$8:$B$20,'Gross Capex'!$B30,'Forecast Contributions'!M$8:M$20)/1000</f>
        <v>0</v>
      </c>
      <c r="P30" s="143"/>
      <c r="Q30" s="143"/>
      <c r="R30" s="143"/>
      <c r="S30" s="143"/>
      <c r="T30" s="143"/>
    </row>
    <row r="31" spans="1:20" x14ac:dyDescent="0.2">
      <c r="A31" s="143"/>
      <c r="B31" s="36">
        <v>126</v>
      </c>
      <c r="C31" s="33" t="s">
        <v>106</v>
      </c>
      <c r="D31" s="143"/>
      <c r="E31" s="143"/>
      <c r="F31" s="96">
        <f>SUMIF('Historical Expenditure-Volumes'!$B$9:$B$22,'Gross Capex'!$B31,'Historical Expenditure-Volumes'!E$9:E$22)/1000+SUMIF('Historical Contributions'!$B$8:$B$20,'Gross Capex'!$B31,'Historical Contributions'!D$8:D$20)/1000</f>
        <v>0</v>
      </c>
      <c r="G31" s="96">
        <f>SUMIF('Historical Expenditure-Volumes'!$B$9:$B$22,'Gross Capex'!$B31,'Historical Expenditure-Volumes'!F$9:F$22)/1000+SUMIF('Historical Contributions'!$B$8:$B$20,'Gross Capex'!$B31,'Historical Contributions'!E$8:E$20)/1000</f>
        <v>0</v>
      </c>
      <c r="H31" s="96">
        <f>SUMIF('Historical Expenditure-Volumes'!$B$9:$B$22,'Gross Capex'!$B31,'Historical Expenditure-Volumes'!G$9:G$22)/1000+SUMIF('Historical Contributions'!$B$8:$B$20,'Gross Capex'!$B31,'Historical Contributions'!F$8:F$20)/1000</f>
        <v>0</v>
      </c>
      <c r="I31" s="185">
        <f>SUMIF('Forecast Expenditure-Volumes'!$B$92:$B$104,'Gross Capex'!$B31,'Forecast Expenditure-Volumes'!G$92:G$104)/1000+SUMIF('Forecast Contributions'!$B$8:$B$20,'Gross Capex'!$B31,'Forecast Contributions'!G$8:G$20)/1000</f>
        <v>0</v>
      </c>
      <c r="J31" s="185">
        <f>SUMIF('Forecast Expenditure-Volumes'!$B$92:$B$104,'Gross Capex'!$B31,'Forecast Expenditure-Volumes'!H$92:H$104)/1000+SUMIF('Forecast Contributions'!$B$8:$B$20,'Gross Capex'!$B31,'Forecast Contributions'!H$8:H$20)/1000</f>
        <v>0</v>
      </c>
      <c r="K31" s="185">
        <f>SUMIF('Forecast Expenditure-Volumes'!$B$92:$B$104,'Gross Capex'!$B31,'Forecast Expenditure-Volumes'!I$92:I$104)/1000+SUMIF('Forecast Contributions'!$B$8:$B$20,'Gross Capex'!$B31,'Forecast Contributions'!I$8:I$20)/1000</f>
        <v>0</v>
      </c>
      <c r="L31" s="185">
        <f>SUMIF('Forecast Expenditure-Volumes'!$B$92:$B$104,'Gross Capex'!$B31,'Forecast Expenditure-Volumes'!J$92:J$104)/1000+SUMIF('Forecast Contributions'!$B$8:$B$20,'Gross Capex'!$B31,'Forecast Contributions'!J$8:J$20)/1000</f>
        <v>0</v>
      </c>
      <c r="M31" s="185">
        <f>SUMIF('Forecast Expenditure-Volumes'!$B$92:$B$104,'Gross Capex'!$B31,'Forecast Expenditure-Volumes'!K$92:K$104)/1000+SUMIF('Forecast Contributions'!$B$8:$B$20,'Gross Capex'!$B31,'Forecast Contributions'!K$8:K$20)/1000</f>
        <v>0</v>
      </c>
      <c r="N31" s="185">
        <f>SUMIF('Forecast Expenditure-Volumes'!$B$92:$B$104,'Gross Capex'!$B31,'Forecast Expenditure-Volumes'!L$92:L$104)/1000+SUMIF('Forecast Contributions'!$B$8:$B$20,'Gross Capex'!$B31,'Forecast Contributions'!L$8:L$20)/1000</f>
        <v>0</v>
      </c>
      <c r="O31" s="185">
        <f>SUMIF('Forecast Expenditure-Volumes'!$B$92:$B$104,'Gross Capex'!$B31,'Forecast Expenditure-Volumes'!M$92:M$104)/1000+SUMIF('Forecast Contributions'!$B$8:$B$20,'Gross Capex'!$B31,'Forecast Contributions'!M$8:M$20)/1000</f>
        <v>0</v>
      </c>
      <c r="P31" s="143"/>
      <c r="Q31" s="143"/>
      <c r="R31" s="143"/>
      <c r="S31" s="143"/>
      <c r="T31" s="143"/>
    </row>
    <row r="32" spans="1:20" x14ac:dyDescent="0.2">
      <c r="A32" s="143"/>
      <c r="B32" s="36">
        <v>130</v>
      </c>
      <c r="C32" s="33" t="s">
        <v>107</v>
      </c>
      <c r="D32" s="143"/>
      <c r="E32" s="143"/>
      <c r="F32" s="96">
        <f>SUMIF('Historical Expenditure-Volumes'!$B$9:$B$22,'Gross Capex'!$B32,'Historical Expenditure-Volumes'!E$9:E$22)/1000+SUMIF('Historical Contributions'!$B$8:$B$20,'Gross Capex'!$B32,'Historical Contributions'!D$8:D$20)/1000</f>
        <v>0</v>
      </c>
      <c r="G32" s="96">
        <f>SUMIF('Historical Expenditure-Volumes'!$B$9:$B$22,'Gross Capex'!$B32,'Historical Expenditure-Volumes'!F$9:F$22)/1000+SUMIF('Historical Contributions'!$B$8:$B$20,'Gross Capex'!$B32,'Historical Contributions'!E$8:E$20)/1000</f>
        <v>0</v>
      </c>
      <c r="H32" s="96">
        <f>SUMIF('Historical Expenditure-Volumes'!$B$9:$B$22,'Gross Capex'!$B32,'Historical Expenditure-Volumes'!G$9:G$22)/1000+SUMIF('Historical Contributions'!$B$8:$B$20,'Gross Capex'!$B32,'Historical Contributions'!F$8:F$20)/1000</f>
        <v>0</v>
      </c>
      <c r="I32" s="185">
        <f>SUMIF('Forecast Expenditure-Volumes'!$B$92:$B$104,'Gross Capex'!$B32,'Forecast Expenditure-Volumes'!G$92:G$104)/1000+SUMIF('Forecast Contributions'!$B$8:$B$20,'Gross Capex'!$B32,'Forecast Contributions'!G$8:G$20)/1000</f>
        <v>0</v>
      </c>
      <c r="J32" s="185">
        <f>SUMIF('Forecast Expenditure-Volumes'!$B$92:$B$104,'Gross Capex'!$B32,'Forecast Expenditure-Volumes'!H$92:H$104)/1000+SUMIF('Forecast Contributions'!$B$8:$B$20,'Gross Capex'!$B32,'Forecast Contributions'!H$8:H$20)/1000</f>
        <v>0</v>
      </c>
      <c r="K32" s="185">
        <f>SUMIF('Forecast Expenditure-Volumes'!$B$92:$B$104,'Gross Capex'!$B32,'Forecast Expenditure-Volumes'!I$92:I$104)/1000+SUMIF('Forecast Contributions'!$B$8:$B$20,'Gross Capex'!$B32,'Forecast Contributions'!I$8:I$20)/1000</f>
        <v>0</v>
      </c>
      <c r="L32" s="185">
        <f>SUMIF('Forecast Expenditure-Volumes'!$B$92:$B$104,'Gross Capex'!$B32,'Forecast Expenditure-Volumes'!J$92:J$104)/1000+SUMIF('Forecast Contributions'!$B$8:$B$20,'Gross Capex'!$B32,'Forecast Contributions'!J$8:J$20)/1000</f>
        <v>0</v>
      </c>
      <c r="M32" s="185">
        <f>SUMIF('Forecast Expenditure-Volumes'!$B$92:$B$104,'Gross Capex'!$B32,'Forecast Expenditure-Volumes'!K$92:K$104)/1000+SUMIF('Forecast Contributions'!$B$8:$B$20,'Gross Capex'!$B32,'Forecast Contributions'!K$8:K$20)/1000</f>
        <v>0</v>
      </c>
      <c r="N32" s="185">
        <f>SUMIF('Forecast Expenditure-Volumes'!$B$92:$B$104,'Gross Capex'!$B32,'Forecast Expenditure-Volumes'!L$92:L$104)/1000+SUMIF('Forecast Contributions'!$B$8:$B$20,'Gross Capex'!$B32,'Forecast Contributions'!L$8:L$20)/1000</f>
        <v>0</v>
      </c>
      <c r="O32" s="185">
        <f>SUMIF('Forecast Expenditure-Volumes'!$B$92:$B$104,'Gross Capex'!$B32,'Forecast Expenditure-Volumes'!M$92:M$104)/1000+SUMIF('Forecast Contributions'!$B$8:$B$20,'Gross Capex'!$B32,'Forecast Contributions'!M$8:M$20)/1000</f>
        <v>0</v>
      </c>
      <c r="P32" s="143"/>
      <c r="Q32" s="143"/>
      <c r="R32" s="143"/>
      <c r="S32" s="143"/>
      <c r="T32" s="143"/>
    </row>
    <row r="33" spans="1:20" x14ac:dyDescent="0.2">
      <c r="A33" s="143"/>
      <c r="B33" s="36">
        <v>131</v>
      </c>
      <c r="C33" s="33" t="s">
        <v>108</v>
      </c>
      <c r="D33" s="143"/>
      <c r="E33" s="143"/>
      <c r="F33" s="96">
        <f>SUMIF('Historical Expenditure-Volumes'!$B$9:$B$22,'Gross Capex'!$B33,'Historical Expenditure-Volumes'!E$9:E$22)/1000+SUMIF('Historical Contributions'!$B$8:$B$20,'Gross Capex'!$B33,'Historical Contributions'!D$8:D$20)/1000</f>
        <v>0</v>
      </c>
      <c r="G33" s="96">
        <f>SUMIF('Historical Expenditure-Volumes'!$B$9:$B$22,'Gross Capex'!$B33,'Historical Expenditure-Volumes'!F$9:F$22)/1000+SUMIF('Historical Contributions'!$B$8:$B$20,'Gross Capex'!$B33,'Historical Contributions'!E$8:E$20)/1000</f>
        <v>0</v>
      </c>
      <c r="H33" s="96">
        <f>SUMIF('Historical Expenditure-Volumes'!$B$9:$B$22,'Gross Capex'!$B33,'Historical Expenditure-Volumes'!G$9:G$22)/1000+SUMIF('Historical Contributions'!$B$8:$B$20,'Gross Capex'!$B33,'Historical Contributions'!F$8:F$20)/1000</f>
        <v>0</v>
      </c>
      <c r="I33" s="185">
        <f>SUMIF('Forecast Expenditure-Volumes'!$B$92:$B$104,'Gross Capex'!$B33,'Forecast Expenditure-Volumes'!G$92:G$104)/1000+SUMIF('Forecast Contributions'!$B$8:$B$20,'Gross Capex'!$B33,'Forecast Contributions'!G$8:G$20)/1000</f>
        <v>0</v>
      </c>
      <c r="J33" s="185">
        <f>SUMIF('Forecast Expenditure-Volumes'!$B$92:$B$104,'Gross Capex'!$B33,'Forecast Expenditure-Volumes'!H$92:H$104)/1000+SUMIF('Forecast Contributions'!$B$8:$B$20,'Gross Capex'!$B33,'Forecast Contributions'!H$8:H$20)/1000</f>
        <v>0</v>
      </c>
      <c r="K33" s="185">
        <f>SUMIF('Forecast Expenditure-Volumes'!$B$92:$B$104,'Gross Capex'!$B33,'Forecast Expenditure-Volumes'!I$92:I$104)/1000+SUMIF('Forecast Contributions'!$B$8:$B$20,'Gross Capex'!$B33,'Forecast Contributions'!I$8:I$20)/1000</f>
        <v>0</v>
      </c>
      <c r="L33" s="185">
        <f>SUMIF('Forecast Expenditure-Volumes'!$B$92:$B$104,'Gross Capex'!$B33,'Forecast Expenditure-Volumes'!J$92:J$104)/1000+SUMIF('Forecast Contributions'!$B$8:$B$20,'Gross Capex'!$B33,'Forecast Contributions'!J$8:J$20)/1000</f>
        <v>0</v>
      </c>
      <c r="M33" s="185">
        <f>SUMIF('Forecast Expenditure-Volumes'!$B$92:$B$104,'Gross Capex'!$B33,'Forecast Expenditure-Volumes'!K$92:K$104)/1000+SUMIF('Forecast Contributions'!$B$8:$B$20,'Gross Capex'!$B33,'Forecast Contributions'!K$8:K$20)/1000</f>
        <v>0</v>
      </c>
      <c r="N33" s="185">
        <f>SUMIF('Forecast Expenditure-Volumes'!$B$92:$B$104,'Gross Capex'!$B33,'Forecast Expenditure-Volumes'!L$92:L$104)/1000+SUMIF('Forecast Contributions'!$B$8:$B$20,'Gross Capex'!$B33,'Forecast Contributions'!L$8:L$20)/1000</f>
        <v>0</v>
      </c>
      <c r="O33" s="185">
        <f>SUMIF('Forecast Expenditure-Volumes'!$B$92:$B$104,'Gross Capex'!$B33,'Forecast Expenditure-Volumes'!M$92:M$104)/1000+SUMIF('Forecast Contributions'!$B$8:$B$20,'Gross Capex'!$B33,'Forecast Contributions'!M$8:M$20)/1000</f>
        <v>0</v>
      </c>
      <c r="P33" s="143"/>
      <c r="Q33" s="143"/>
      <c r="R33" s="143"/>
      <c r="S33" s="143"/>
      <c r="T33" s="143"/>
    </row>
    <row r="34" spans="1:20" x14ac:dyDescent="0.2">
      <c r="A34" s="143"/>
      <c r="B34" s="36">
        <v>132</v>
      </c>
      <c r="C34" s="33" t="s">
        <v>109</v>
      </c>
      <c r="D34" s="143"/>
      <c r="E34" s="143"/>
      <c r="F34" s="96">
        <f>SUMIF('Historical Expenditure-Volumes'!$B$9:$B$22,'Gross Capex'!$B34,'Historical Expenditure-Volumes'!E$9:E$22)/1000+SUMIF('Historical Contributions'!$B$8:$B$20,'Gross Capex'!$B34,'Historical Contributions'!D$8:D$20)/1000</f>
        <v>0</v>
      </c>
      <c r="G34" s="96">
        <f>SUMIF('Historical Expenditure-Volumes'!$B$9:$B$22,'Gross Capex'!$B34,'Historical Expenditure-Volumes'!F$9:F$22)/1000+SUMIF('Historical Contributions'!$B$8:$B$20,'Gross Capex'!$B34,'Historical Contributions'!E$8:E$20)/1000</f>
        <v>0</v>
      </c>
      <c r="H34" s="96">
        <f>SUMIF('Historical Expenditure-Volumes'!$B$9:$B$22,'Gross Capex'!$B34,'Historical Expenditure-Volumes'!G$9:G$22)/1000+SUMIF('Historical Contributions'!$B$8:$B$20,'Gross Capex'!$B34,'Historical Contributions'!F$8:F$20)/1000</f>
        <v>0</v>
      </c>
      <c r="I34" s="185">
        <f>SUMIF('Forecast Expenditure-Volumes'!$B$92:$B$104,'Gross Capex'!$B34,'Forecast Expenditure-Volumes'!G$92:G$104)/1000+SUMIF('Forecast Contributions'!$B$8:$B$20,'Gross Capex'!$B34,'Forecast Contributions'!G$8:G$20)/1000</f>
        <v>0</v>
      </c>
      <c r="J34" s="185">
        <f>SUMIF('Forecast Expenditure-Volumes'!$B$92:$B$104,'Gross Capex'!$B34,'Forecast Expenditure-Volumes'!H$92:H$104)/1000+SUMIF('Forecast Contributions'!$B$8:$B$20,'Gross Capex'!$B34,'Forecast Contributions'!H$8:H$20)/1000</f>
        <v>0</v>
      </c>
      <c r="K34" s="185">
        <f>SUMIF('Forecast Expenditure-Volumes'!$B$92:$B$104,'Gross Capex'!$B34,'Forecast Expenditure-Volumes'!I$92:I$104)/1000+SUMIF('Forecast Contributions'!$B$8:$B$20,'Gross Capex'!$B34,'Forecast Contributions'!I$8:I$20)/1000</f>
        <v>0</v>
      </c>
      <c r="L34" s="185">
        <f>SUMIF('Forecast Expenditure-Volumes'!$B$92:$B$104,'Gross Capex'!$B34,'Forecast Expenditure-Volumes'!J$92:J$104)/1000+SUMIF('Forecast Contributions'!$B$8:$B$20,'Gross Capex'!$B34,'Forecast Contributions'!J$8:J$20)/1000</f>
        <v>0</v>
      </c>
      <c r="M34" s="185">
        <f>SUMIF('Forecast Expenditure-Volumes'!$B$92:$B$104,'Gross Capex'!$B34,'Forecast Expenditure-Volumes'!K$92:K$104)/1000+SUMIF('Forecast Contributions'!$B$8:$B$20,'Gross Capex'!$B34,'Forecast Contributions'!K$8:K$20)/1000</f>
        <v>0</v>
      </c>
      <c r="N34" s="185">
        <f>SUMIF('Forecast Expenditure-Volumes'!$B$92:$B$104,'Gross Capex'!$B34,'Forecast Expenditure-Volumes'!L$92:L$104)/1000+SUMIF('Forecast Contributions'!$B$8:$B$20,'Gross Capex'!$B34,'Forecast Contributions'!L$8:L$20)/1000</f>
        <v>0</v>
      </c>
      <c r="O34" s="185">
        <f>SUMIF('Forecast Expenditure-Volumes'!$B$92:$B$104,'Gross Capex'!$B34,'Forecast Expenditure-Volumes'!M$92:M$104)/1000+SUMIF('Forecast Contributions'!$B$8:$B$20,'Gross Capex'!$B34,'Forecast Contributions'!M$8:M$20)/1000</f>
        <v>0</v>
      </c>
      <c r="P34" s="143"/>
      <c r="Q34" s="143"/>
      <c r="R34" s="143"/>
      <c r="S34" s="143"/>
      <c r="T34" s="143"/>
    </row>
    <row r="35" spans="1:20" x14ac:dyDescent="0.2">
      <c r="A35" s="143"/>
      <c r="B35" s="36">
        <v>133</v>
      </c>
      <c r="C35" s="33" t="s">
        <v>110</v>
      </c>
      <c r="D35" s="143"/>
      <c r="E35" s="143"/>
      <c r="F35" s="96">
        <f>SUMIF('Historical Expenditure-Volumes'!$B$9:$B$22,'Gross Capex'!$B35,'Historical Expenditure-Volumes'!E$9:E$22)/1000+SUMIF('Historical Contributions'!$B$8:$B$20,'Gross Capex'!$B35,'Historical Contributions'!D$8:D$20)/1000</f>
        <v>0</v>
      </c>
      <c r="G35" s="96">
        <f>SUMIF('Historical Expenditure-Volumes'!$B$9:$B$22,'Gross Capex'!$B35,'Historical Expenditure-Volumes'!F$9:F$22)/1000+SUMIF('Historical Contributions'!$B$8:$B$20,'Gross Capex'!$B35,'Historical Contributions'!E$8:E$20)/1000</f>
        <v>0</v>
      </c>
      <c r="H35" s="96">
        <f>SUMIF('Historical Expenditure-Volumes'!$B$9:$B$22,'Gross Capex'!$B35,'Historical Expenditure-Volumes'!G$9:G$22)/1000+SUMIF('Historical Contributions'!$B$8:$B$20,'Gross Capex'!$B35,'Historical Contributions'!F$8:F$20)/1000</f>
        <v>0</v>
      </c>
      <c r="I35" s="185">
        <f>SUMIF('Forecast Expenditure-Volumes'!$B$92:$B$104,'Gross Capex'!$B35,'Forecast Expenditure-Volumes'!G$92:G$104)/1000+SUMIF('Forecast Contributions'!$B$8:$B$20,'Gross Capex'!$B35,'Forecast Contributions'!G$8:G$20)/1000</f>
        <v>0</v>
      </c>
      <c r="J35" s="185">
        <f>SUMIF('Forecast Expenditure-Volumes'!$B$92:$B$104,'Gross Capex'!$B35,'Forecast Expenditure-Volumes'!H$92:H$104)/1000+SUMIF('Forecast Contributions'!$B$8:$B$20,'Gross Capex'!$B35,'Forecast Contributions'!H$8:H$20)/1000</f>
        <v>0</v>
      </c>
      <c r="K35" s="185">
        <f>SUMIF('Forecast Expenditure-Volumes'!$B$92:$B$104,'Gross Capex'!$B35,'Forecast Expenditure-Volumes'!I$92:I$104)/1000+SUMIF('Forecast Contributions'!$B$8:$B$20,'Gross Capex'!$B35,'Forecast Contributions'!I$8:I$20)/1000</f>
        <v>0</v>
      </c>
      <c r="L35" s="185">
        <f>SUMIF('Forecast Expenditure-Volumes'!$B$92:$B$104,'Gross Capex'!$B35,'Forecast Expenditure-Volumes'!J$92:J$104)/1000+SUMIF('Forecast Contributions'!$B$8:$B$20,'Gross Capex'!$B35,'Forecast Contributions'!J$8:J$20)/1000</f>
        <v>0</v>
      </c>
      <c r="M35" s="185">
        <f>SUMIF('Forecast Expenditure-Volumes'!$B$92:$B$104,'Gross Capex'!$B35,'Forecast Expenditure-Volumes'!K$92:K$104)/1000+SUMIF('Forecast Contributions'!$B$8:$B$20,'Gross Capex'!$B35,'Forecast Contributions'!K$8:K$20)/1000</f>
        <v>0</v>
      </c>
      <c r="N35" s="185">
        <f>SUMIF('Forecast Expenditure-Volumes'!$B$92:$B$104,'Gross Capex'!$B35,'Forecast Expenditure-Volumes'!L$92:L$104)/1000+SUMIF('Forecast Contributions'!$B$8:$B$20,'Gross Capex'!$B35,'Forecast Contributions'!L$8:L$20)/1000</f>
        <v>0</v>
      </c>
      <c r="O35" s="185">
        <f>SUMIF('Forecast Expenditure-Volumes'!$B$92:$B$104,'Gross Capex'!$B35,'Forecast Expenditure-Volumes'!M$92:M$104)/1000+SUMIF('Forecast Contributions'!$B$8:$B$20,'Gross Capex'!$B35,'Forecast Contributions'!M$8:M$20)/1000</f>
        <v>0</v>
      </c>
      <c r="P35" s="143"/>
      <c r="Q35" s="143"/>
      <c r="R35" s="143"/>
      <c r="S35" s="143"/>
      <c r="T35" s="143"/>
    </row>
    <row r="36" spans="1:20" x14ac:dyDescent="0.2">
      <c r="A36" s="143"/>
      <c r="B36" s="36">
        <v>134</v>
      </c>
      <c r="C36" s="33" t="s">
        <v>111</v>
      </c>
      <c r="D36" s="143"/>
      <c r="E36" s="143"/>
      <c r="F36" s="96">
        <f>SUMIF('Historical Expenditure-Volumes'!$B$9:$B$22,'Gross Capex'!$B36,'Historical Expenditure-Volumes'!E$9:E$22)/1000+SUMIF('Historical Contributions'!$B$8:$B$20,'Gross Capex'!$B36,'Historical Contributions'!D$8:D$20)/1000</f>
        <v>0</v>
      </c>
      <c r="G36" s="96">
        <f>SUMIF('Historical Expenditure-Volumes'!$B$9:$B$22,'Gross Capex'!$B36,'Historical Expenditure-Volumes'!F$9:F$22)/1000+SUMIF('Historical Contributions'!$B$8:$B$20,'Gross Capex'!$B36,'Historical Contributions'!E$8:E$20)/1000</f>
        <v>0</v>
      </c>
      <c r="H36" s="96">
        <f>SUMIF('Historical Expenditure-Volumes'!$B$9:$B$22,'Gross Capex'!$B36,'Historical Expenditure-Volumes'!G$9:G$22)/1000+SUMIF('Historical Contributions'!$B$8:$B$20,'Gross Capex'!$B36,'Historical Contributions'!F$8:F$20)/1000</f>
        <v>0</v>
      </c>
      <c r="I36" s="185">
        <f>SUMIF('Forecast Expenditure-Volumes'!$B$92:$B$104,'Gross Capex'!$B36,'Forecast Expenditure-Volumes'!G$92:G$104)/1000+SUMIF('Forecast Contributions'!$B$8:$B$20,'Gross Capex'!$B36,'Forecast Contributions'!G$8:G$20)/1000</f>
        <v>0</v>
      </c>
      <c r="J36" s="185">
        <f>SUMIF('Forecast Expenditure-Volumes'!$B$92:$B$104,'Gross Capex'!$B36,'Forecast Expenditure-Volumes'!H$92:H$104)/1000+SUMIF('Forecast Contributions'!$B$8:$B$20,'Gross Capex'!$B36,'Forecast Contributions'!H$8:H$20)/1000</f>
        <v>0</v>
      </c>
      <c r="K36" s="185">
        <f>SUMIF('Forecast Expenditure-Volumes'!$B$92:$B$104,'Gross Capex'!$B36,'Forecast Expenditure-Volumes'!I$92:I$104)/1000+SUMIF('Forecast Contributions'!$B$8:$B$20,'Gross Capex'!$B36,'Forecast Contributions'!I$8:I$20)/1000</f>
        <v>0</v>
      </c>
      <c r="L36" s="185">
        <f>SUMIF('Forecast Expenditure-Volumes'!$B$92:$B$104,'Gross Capex'!$B36,'Forecast Expenditure-Volumes'!J$92:J$104)/1000+SUMIF('Forecast Contributions'!$B$8:$B$20,'Gross Capex'!$B36,'Forecast Contributions'!J$8:J$20)/1000</f>
        <v>0</v>
      </c>
      <c r="M36" s="185">
        <f>SUMIF('Forecast Expenditure-Volumes'!$B$92:$B$104,'Gross Capex'!$B36,'Forecast Expenditure-Volumes'!K$92:K$104)/1000+SUMIF('Forecast Contributions'!$B$8:$B$20,'Gross Capex'!$B36,'Forecast Contributions'!K$8:K$20)/1000</f>
        <v>0</v>
      </c>
      <c r="N36" s="185">
        <f>SUMIF('Forecast Expenditure-Volumes'!$B$92:$B$104,'Gross Capex'!$B36,'Forecast Expenditure-Volumes'!L$92:L$104)/1000+SUMIF('Forecast Contributions'!$B$8:$B$20,'Gross Capex'!$B36,'Forecast Contributions'!L$8:L$20)/1000</f>
        <v>0</v>
      </c>
      <c r="O36" s="185">
        <f>SUMIF('Forecast Expenditure-Volumes'!$B$92:$B$104,'Gross Capex'!$B36,'Forecast Expenditure-Volumes'!M$92:M$104)/1000+SUMIF('Forecast Contributions'!$B$8:$B$20,'Gross Capex'!$B36,'Forecast Contributions'!M$8:M$20)/1000</f>
        <v>0</v>
      </c>
      <c r="P36" s="143"/>
      <c r="Q36" s="143"/>
      <c r="R36" s="143"/>
      <c r="S36" s="143"/>
      <c r="T36" s="143"/>
    </row>
    <row r="37" spans="1:20" x14ac:dyDescent="0.2">
      <c r="A37" s="143"/>
      <c r="B37" s="36">
        <v>135</v>
      </c>
      <c r="C37" s="33" t="s">
        <v>112</v>
      </c>
      <c r="D37" s="143"/>
      <c r="E37" s="143"/>
      <c r="F37" s="96">
        <f>SUMIF('Historical Expenditure-Volumes'!$B$9:$B$22,'Gross Capex'!$B37,'Historical Expenditure-Volumes'!E$9:E$22)/1000+SUMIF('Historical Contributions'!$B$8:$B$20,'Gross Capex'!$B37,'Historical Contributions'!D$8:D$20)/1000</f>
        <v>0</v>
      </c>
      <c r="G37" s="96">
        <f>SUMIF('Historical Expenditure-Volumes'!$B$9:$B$22,'Gross Capex'!$B37,'Historical Expenditure-Volumes'!F$9:F$22)/1000+SUMIF('Historical Contributions'!$B$8:$B$20,'Gross Capex'!$B37,'Historical Contributions'!E$8:E$20)/1000</f>
        <v>0</v>
      </c>
      <c r="H37" s="96">
        <f>SUMIF('Historical Expenditure-Volumes'!$B$9:$B$22,'Gross Capex'!$B37,'Historical Expenditure-Volumes'!G$9:G$22)/1000+SUMIF('Historical Contributions'!$B$8:$B$20,'Gross Capex'!$B37,'Historical Contributions'!F$8:F$20)/1000</f>
        <v>0</v>
      </c>
      <c r="I37" s="185">
        <f>SUMIF('Forecast Expenditure-Volumes'!$B$92:$B$104,'Gross Capex'!$B37,'Forecast Expenditure-Volumes'!G$92:G$104)/1000+SUMIF('Forecast Contributions'!$B$8:$B$20,'Gross Capex'!$B37,'Forecast Contributions'!G$8:G$20)/1000</f>
        <v>0</v>
      </c>
      <c r="J37" s="185">
        <f>SUMIF('Forecast Expenditure-Volumes'!$B$92:$B$104,'Gross Capex'!$B37,'Forecast Expenditure-Volumes'!H$92:H$104)/1000+SUMIF('Forecast Contributions'!$B$8:$B$20,'Gross Capex'!$B37,'Forecast Contributions'!H$8:H$20)/1000</f>
        <v>0</v>
      </c>
      <c r="K37" s="185">
        <f>SUMIF('Forecast Expenditure-Volumes'!$B$92:$B$104,'Gross Capex'!$B37,'Forecast Expenditure-Volumes'!I$92:I$104)/1000+SUMIF('Forecast Contributions'!$B$8:$B$20,'Gross Capex'!$B37,'Forecast Contributions'!I$8:I$20)/1000</f>
        <v>0</v>
      </c>
      <c r="L37" s="185">
        <f>SUMIF('Forecast Expenditure-Volumes'!$B$92:$B$104,'Gross Capex'!$B37,'Forecast Expenditure-Volumes'!J$92:J$104)/1000+SUMIF('Forecast Contributions'!$B$8:$B$20,'Gross Capex'!$B37,'Forecast Contributions'!J$8:J$20)/1000</f>
        <v>0</v>
      </c>
      <c r="M37" s="185">
        <f>SUMIF('Forecast Expenditure-Volumes'!$B$92:$B$104,'Gross Capex'!$B37,'Forecast Expenditure-Volumes'!K$92:K$104)/1000+SUMIF('Forecast Contributions'!$B$8:$B$20,'Gross Capex'!$B37,'Forecast Contributions'!K$8:K$20)/1000</f>
        <v>0</v>
      </c>
      <c r="N37" s="185">
        <f>SUMIF('Forecast Expenditure-Volumes'!$B$92:$B$104,'Gross Capex'!$B37,'Forecast Expenditure-Volumes'!L$92:L$104)/1000+SUMIF('Forecast Contributions'!$B$8:$B$20,'Gross Capex'!$B37,'Forecast Contributions'!L$8:L$20)/1000</f>
        <v>0</v>
      </c>
      <c r="O37" s="185">
        <f>SUMIF('Forecast Expenditure-Volumes'!$B$92:$B$104,'Gross Capex'!$B37,'Forecast Expenditure-Volumes'!M$92:M$104)/1000+SUMIF('Forecast Contributions'!$B$8:$B$20,'Gross Capex'!$B37,'Forecast Contributions'!M$8:M$20)/1000</f>
        <v>0</v>
      </c>
      <c r="P37" s="143"/>
      <c r="Q37" s="143"/>
      <c r="R37" s="143"/>
      <c r="S37" s="143"/>
      <c r="T37" s="143"/>
    </row>
    <row r="38" spans="1:20" x14ac:dyDescent="0.2">
      <c r="A38" s="143"/>
      <c r="B38" s="36">
        <v>136</v>
      </c>
      <c r="C38" s="33" t="s">
        <v>113</v>
      </c>
      <c r="D38" s="143"/>
      <c r="E38" s="143"/>
      <c r="F38" s="96">
        <f>SUMIF('Historical Expenditure-Volumes'!$B$9:$B$22,'Gross Capex'!$B38,'Historical Expenditure-Volumes'!E$9:E$22)/1000+SUMIF('Historical Contributions'!$B$8:$B$20,'Gross Capex'!$B38,'Historical Contributions'!D$8:D$20)/1000</f>
        <v>0</v>
      </c>
      <c r="G38" s="96">
        <f>SUMIF('Historical Expenditure-Volumes'!$B$9:$B$22,'Gross Capex'!$B38,'Historical Expenditure-Volumes'!F$9:F$22)/1000+SUMIF('Historical Contributions'!$B$8:$B$20,'Gross Capex'!$B38,'Historical Contributions'!E$8:E$20)/1000</f>
        <v>0</v>
      </c>
      <c r="H38" s="96">
        <f>SUMIF('Historical Expenditure-Volumes'!$B$9:$B$22,'Gross Capex'!$B38,'Historical Expenditure-Volumes'!G$9:G$22)/1000+SUMIF('Historical Contributions'!$B$8:$B$20,'Gross Capex'!$B38,'Historical Contributions'!F$8:F$20)/1000</f>
        <v>0</v>
      </c>
      <c r="I38" s="185">
        <f>SUMIF('Forecast Expenditure-Volumes'!$B$92:$B$104,'Gross Capex'!$B38,'Forecast Expenditure-Volumes'!G$92:G$104)/1000+SUMIF('Forecast Contributions'!$B$8:$B$20,'Gross Capex'!$B38,'Forecast Contributions'!G$8:G$20)/1000</f>
        <v>0</v>
      </c>
      <c r="J38" s="185">
        <f>SUMIF('Forecast Expenditure-Volumes'!$B$92:$B$104,'Gross Capex'!$B38,'Forecast Expenditure-Volumes'!H$92:H$104)/1000+SUMIF('Forecast Contributions'!$B$8:$B$20,'Gross Capex'!$B38,'Forecast Contributions'!H$8:H$20)/1000</f>
        <v>0</v>
      </c>
      <c r="K38" s="185">
        <f>SUMIF('Forecast Expenditure-Volumes'!$B$92:$B$104,'Gross Capex'!$B38,'Forecast Expenditure-Volumes'!I$92:I$104)/1000+SUMIF('Forecast Contributions'!$B$8:$B$20,'Gross Capex'!$B38,'Forecast Contributions'!I$8:I$20)/1000</f>
        <v>0</v>
      </c>
      <c r="L38" s="185">
        <f>SUMIF('Forecast Expenditure-Volumes'!$B$92:$B$104,'Gross Capex'!$B38,'Forecast Expenditure-Volumes'!J$92:J$104)/1000+SUMIF('Forecast Contributions'!$B$8:$B$20,'Gross Capex'!$B38,'Forecast Contributions'!J$8:J$20)/1000</f>
        <v>0</v>
      </c>
      <c r="M38" s="185">
        <f>SUMIF('Forecast Expenditure-Volumes'!$B$92:$B$104,'Gross Capex'!$B38,'Forecast Expenditure-Volumes'!K$92:K$104)/1000+SUMIF('Forecast Contributions'!$B$8:$B$20,'Gross Capex'!$B38,'Forecast Contributions'!K$8:K$20)/1000</f>
        <v>0</v>
      </c>
      <c r="N38" s="185">
        <f>SUMIF('Forecast Expenditure-Volumes'!$B$92:$B$104,'Gross Capex'!$B38,'Forecast Expenditure-Volumes'!L$92:L$104)/1000+SUMIF('Forecast Contributions'!$B$8:$B$20,'Gross Capex'!$B38,'Forecast Contributions'!L$8:L$20)/1000</f>
        <v>0</v>
      </c>
      <c r="O38" s="185">
        <f>SUMIF('Forecast Expenditure-Volumes'!$B$92:$B$104,'Gross Capex'!$B38,'Forecast Expenditure-Volumes'!M$92:M$104)/1000+SUMIF('Forecast Contributions'!$B$8:$B$20,'Gross Capex'!$B38,'Forecast Contributions'!M$8:M$20)/1000</f>
        <v>0</v>
      </c>
      <c r="P38" s="143"/>
      <c r="Q38" s="143"/>
      <c r="R38" s="143"/>
      <c r="S38" s="143"/>
      <c r="T38" s="143"/>
    </row>
    <row r="39" spans="1:20" x14ac:dyDescent="0.2">
      <c r="A39" s="143"/>
      <c r="B39" s="36">
        <v>137</v>
      </c>
      <c r="C39" s="33" t="s">
        <v>114</v>
      </c>
      <c r="D39" s="143"/>
      <c r="E39" s="143"/>
      <c r="F39" s="96">
        <f>SUMIF('Historical Expenditure-Volumes'!$B$9:$B$22,'Gross Capex'!$B39,'Historical Expenditure-Volumes'!E$9:E$22)/1000+SUMIF('Historical Contributions'!$B$8:$B$20,'Gross Capex'!$B39,'Historical Contributions'!D$8:D$20)/1000</f>
        <v>0</v>
      </c>
      <c r="G39" s="96">
        <f>SUMIF('Historical Expenditure-Volumes'!$B$9:$B$22,'Gross Capex'!$B39,'Historical Expenditure-Volumes'!F$9:F$22)/1000+SUMIF('Historical Contributions'!$B$8:$B$20,'Gross Capex'!$B39,'Historical Contributions'!E$8:E$20)/1000</f>
        <v>0</v>
      </c>
      <c r="H39" s="96">
        <f>SUMIF('Historical Expenditure-Volumes'!$B$9:$B$22,'Gross Capex'!$B39,'Historical Expenditure-Volumes'!G$9:G$22)/1000+SUMIF('Historical Contributions'!$B$8:$B$20,'Gross Capex'!$B39,'Historical Contributions'!F$8:F$20)/1000</f>
        <v>0</v>
      </c>
      <c r="I39" s="185">
        <f>SUMIF('Forecast Expenditure-Volumes'!$B$92:$B$104,'Gross Capex'!$B39,'Forecast Expenditure-Volumes'!G$92:G$104)/1000+SUMIF('Forecast Contributions'!$B$8:$B$20,'Gross Capex'!$B39,'Forecast Contributions'!G$8:G$20)/1000</f>
        <v>0</v>
      </c>
      <c r="J39" s="185">
        <f>SUMIF('Forecast Expenditure-Volumes'!$B$92:$B$104,'Gross Capex'!$B39,'Forecast Expenditure-Volumes'!H$92:H$104)/1000+SUMIF('Forecast Contributions'!$B$8:$B$20,'Gross Capex'!$B39,'Forecast Contributions'!H$8:H$20)/1000</f>
        <v>0</v>
      </c>
      <c r="K39" s="185">
        <f>SUMIF('Forecast Expenditure-Volumes'!$B$92:$B$104,'Gross Capex'!$B39,'Forecast Expenditure-Volumes'!I$92:I$104)/1000+SUMIF('Forecast Contributions'!$B$8:$B$20,'Gross Capex'!$B39,'Forecast Contributions'!I$8:I$20)/1000</f>
        <v>0</v>
      </c>
      <c r="L39" s="185">
        <f>SUMIF('Forecast Expenditure-Volumes'!$B$92:$B$104,'Gross Capex'!$B39,'Forecast Expenditure-Volumes'!J$92:J$104)/1000+SUMIF('Forecast Contributions'!$B$8:$B$20,'Gross Capex'!$B39,'Forecast Contributions'!J$8:J$20)/1000</f>
        <v>0</v>
      </c>
      <c r="M39" s="185">
        <f>SUMIF('Forecast Expenditure-Volumes'!$B$92:$B$104,'Gross Capex'!$B39,'Forecast Expenditure-Volumes'!K$92:K$104)/1000+SUMIF('Forecast Contributions'!$B$8:$B$20,'Gross Capex'!$B39,'Forecast Contributions'!K$8:K$20)/1000</f>
        <v>0</v>
      </c>
      <c r="N39" s="185">
        <f>SUMIF('Forecast Expenditure-Volumes'!$B$92:$B$104,'Gross Capex'!$B39,'Forecast Expenditure-Volumes'!L$92:L$104)/1000+SUMIF('Forecast Contributions'!$B$8:$B$20,'Gross Capex'!$B39,'Forecast Contributions'!L$8:L$20)/1000</f>
        <v>0</v>
      </c>
      <c r="O39" s="185">
        <f>SUMIF('Forecast Expenditure-Volumes'!$B$92:$B$104,'Gross Capex'!$B39,'Forecast Expenditure-Volumes'!M$92:M$104)/1000+SUMIF('Forecast Contributions'!$B$8:$B$20,'Gross Capex'!$B39,'Forecast Contributions'!M$8:M$20)/1000</f>
        <v>0</v>
      </c>
      <c r="P39" s="143"/>
      <c r="Q39" s="143"/>
      <c r="R39" s="143"/>
      <c r="S39" s="143"/>
      <c r="T39" s="143"/>
    </row>
    <row r="40" spans="1:20" x14ac:dyDescent="0.2">
      <c r="A40" s="143"/>
      <c r="B40" s="36">
        <v>138</v>
      </c>
      <c r="C40" s="33" t="s">
        <v>115</v>
      </c>
      <c r="D40" s="143"/>
      <c r="E40" s="143"/>
      <c r="F40" s="96">
        <f>SUMIF('Historical Expenditure-Volumes'!$B$9:$B$22,'Gross Capex'!$B40,'Historical Expenditure-Volumes'!E$9:E$22)/1000+SUMIF('Historical Contributions'!$B$8:$B$20,'Gross Capex'!$B40,'Historical Contributions'!D$8:D$20)/1000</f>
        <v>0</v>
      </c>
      <c r="G40" s="96">
        <f>SUMIF('Historical Expenditure-Volumes'!$B$9:$B$22,'Gross Capex'!$B40,'Historical Expenditure-Volumes'!F$9:F$22)/1000+SUMIF('Historical Contributions'!$B$8:$B$20,'Gross Capex'!$B40,'Historical Contributions'!E$8:E$20)/1000</f>
        <v>0</v>
      </c>
      <c r="H40" s="96">
        <f>SUMIF('Historical Expenditure-Volumes'!$B$9:$B$22,'Gross Capex'!$B40,'Historical Expenditure-Volumes'!G$9:G$22)/1000+SUMIF('Historical Contributions'!$B$8:$B$20,'Gross Capex'!$B40,'Historical Contributions'!F$8:F$20)/1000</f>
        <v>0</v>
      </c>
      <c r="I40" s="185">
        <f>SUMIF('Forecast Expenditure-Volumes'!$B$92:$B$104,'Gross Capex'!$B40,'Forecast Expenditure-Volumes'!G$92:G$104)/1000+SUMIF('Forecast Contributions'!$B$8:$B$20,'Gross Capex'!$B40,'Forecast Contributions'!G$8:G$20)/1000</f>
        <v>0</v>
      </c>
      <c r="J40" s="185">
        <f>SUMIF('Forecast Expenditure-Volumes'!$B$92:$B$104,'Gross Capex'!$B40,'Forecast Expenditure-Volumes'!H$92:H$104)/1000+SUMIF('Forecast Contributions'!$B$8:$B$20,'Gross Capex'!$B40,'Forecast Contributions'!H$8:H$20)/1000</f>
        <v>0</v>
      </c>
      <c r="K40" s="185">
        <f>SUMIF('Forecast Expenditure-Volumes'!$B$92:$B$104,'Gross Capex'!$B40,'Forecast Expenditure-Volumes'!I$92:I$104)/1000+SUMIF('Forecast Contributions'!$B$8:$B$20,'Gross Capex'!$B40,'Forecast Contributions'!I$8:I$20)/1000</f>
        <v>0</v>
      </c>
      <c r="L40" s="185">
        <f>SUMIF('Forecast Expenditure-Volumes'!$B$92:$B$104,'Gross Capex'!$B40,'Forecast Expenditure-Volumes'!J$92:J$104)/1000+SUMIF('Forecast Contributions'!$B$8:$B$20,'Gross Capex'!$B40,'Forecast Contributions'!J$8:J$20)/1000</f>
        <v>0</v>
      </c>
      <c r="M40" s="185">
        <f>SUMIF('Forecast Expenditure-Volumes'!$B$92:$B$104,'Gross Capex'!$B40,'Forecast Expenditure-Volumes'!K$92:K$104)/1000+SUMIF('Forecast Contributions'!$B$8:$B$20,'Gross Capex'!$B40,'Forecast Contributions'!K$8:K$20)/1000</f>
        <v>0</v>
      </c>
      <c r="N40" s="185">
        <f>SUMIF('Forecast Expenditure-Volumes'!$B$92:$B$104,'Gross Capex'!$B40,'Forecast Expenditure-Volumes'!L$92:L$104)/1000+SUMIF('Forecast Contributions'!$B$8:$B$20,'Gross Capex'!$B40,'Forecast Contributions'!L$8:L$20)/1000</f>
        <v>0</v>
      </c>
      <c r="O40" s="185">
        <f>SUMIF('Forecast Expenditure-Volumes'!$B$92:$B$104,'Gross Capex'!$B40,'Forecast Expenditure-Volumes'!M$92:M$104)/1000+SUMIF('Forecast Contributions'!$B$8:$B$20,'Gross Capex'!$B40,'Forecast Contributions'!M$8:M$20)/1000</f>
        <v>0</v>
      </c>
      <c r="P40" s="143"/>
      <c r="Q40" s="143"/>
      <c r="R40" s="143"/>
      <c r="S40" s="143"/>
      <c r="T40" s="143"/>
    </row>
    <row r="41" spans="1:20" x14ac:dyDescent="0.2">
      <c r="A41" s="143"/>
      <c r="B41" s="36">
        <v>139</v>
      </c>
      <c r="C41" s="33" t="s">
        <v>116</v>
      </c>
      <c r="D41" s="143"/>
      <c r="E41" s="143"/>
      <c r="F41" s="96">
        <f>SUMIF('Historical Expenditure-Volumes'!$B$9:$B$22,'Gross Capex'!$B41,'Historical Expenditure-Volumes'!E$9:E$22)/1000+SUMIF('Historical Contributions'!$B$8:$B$20,'Gross Capex'!$B41,'Historical Contributions'!D$8:D$20)/1000</f>
        <v>0</v>
      </c>
      <c r="G41" s="96">
        <f>SUMIF('Historical Expenditure-Volumes'!$B$9:$B$22,'Gross Capex'!$B41,'Historical Expenditure-Volumes'!F$9:F$22)/1000+SUMIF('Historical Contributions'!$B$8:$B$20,'Gross Capex'!$B41,'Historical Contributions'!E$8:E$20)/1000</f>
        <v>0</v>
      </c>
      <c r="H41" s="96">
        <f>SUMIF('Historical Expenditure-Volumes'!$B$9:$B$22,'Gross Capex'!$B41,'Historical Expenditure-Volumes'!G$9:G$22)/1000+SUMIF('Historical Contributions'!$B$8:$B$20,'Gross Capex'!$B41,'Historical Contributions'!F$8:F$20)/1000</f>
        <v>0</v>
      </c>
      <c r="I41" s="185">
        <f>SUMIF('Forecast Expenditure-Volumes'!$B$92:$B$104,'Gross Capex'!$B41,'Forecast Expenditure-Volumes'!G$92:G$104)/1000+SUMIF('Forecast Contributions'!$B$8:$B$20,'Gross Capex'!$B41,'Forecast Contributions'!G$8:G$20)/1000</f>
        <v>0</v>
      </c>
      <c r="J41" s="185">
        <f>SUMIF('Forecast Expenditure-Volumes'!$B$92:$B$104,'Gross Capex'!$B41,'Forecast Expenditure-Volumes'!H$92:H$104)/1000+SUMIF('Forecast Contributions'!$B$8:$B$20,'Gross Capex'!$B41,'Forecast Contributions'!H$8:H$20)/1000</f>
        <v>0</v>
      </c>
      <c r="K41" s="185">
        <f>SUMIF('Forecast Expenditure-Volumes'!$B$92:$B$104,'Gross Capex'!$B41,'Forecast Expenditure-Volumes'!I$92:I$104)/1000+SUMIF('Forecast Contributions'!$B$8:$B$20,'Gross Capex'!$B41,'Forecast Contributions'!I$8:I$20)/1000</f>
        <v>0</v>
      </c>
      <c r="L41" s="185">
        <f>SUMIF('Forecast Expenditure-Volumes'!$B$92:$B$104,'Gross Capex'!$B41,'Forecast Expenditure-Volumes'!J$92:J$104)/1000+SUMIF('Forecast Contributions'!$B$8:$B$20,'Gross Capex'!$B41,'Forecast Contributions'!J$8:J$20)/1000</f>
        <v>0</v>
      </c>
      <c r="M41" s="185">
        <f>SUMIF('Forecast Expenditure-Volumes'!$B$92:$B$104,'Gross Capex'!$B41,'Forecast Expenditure-Volumes'!K$92:K$104)/1000+SUMIF('Forecast Contributions'!$B$8:$B$20,'Gross Capex'!$B41,'Forecast Contributions'!K$8:K$20)/1000</f>
        <v>0</v>
      </c>
      <c r="N41" s="185">
        <f>SUMIF('Forecast Expenditure-Volumes'!$B$92:$B$104,'Gross Capex'!$B41,'Forecast Expenditure-Volumes'!L$92:L$104)/1000+SUMIF('Forecast Contributions'!$B$8:$B$20,'Gross Capex'!$B41,'Forecast Contributions'!L$8:L$20)/1000</f>
        <v>0</v>
      </c>
      <c r="O41" s="185">
        <f>SUMIF('Forecast Expenditure-Volumes'!$B$92:$B$104,'Gross Capex'!$B41,'Forecast Expenditure-Volumes'!M$92:M$104)/1000+SUMIF('Forecast Contributions'!$B$8:$B$20,'Gross Capex'!$B41,'Forecast Contributions'!M$8:M$20)/1000</f>
        <v>0</v>
      </c>
      <c r="P41" s="143"/>
      <c r="Q41" s="143"/>
      <c r="R41" s="143"/>
      <c r="S41" s="143"/>
      <c r="T41" s="143"/>
    </row>
    <row r="42" spans="1:20" x14ac:dyDescent="0.2">
      <c r="A42" s="143"/>
      <c r="B42" s="36">
        <v>140</v>
      </c>
      <c r="C42" s="33" t="s">
        <v>117</v>
      </c>
      <c r="D42" s="143"/>
      <c r="E42" s="143"/>
      <c r="F42" s="96">
        <f>SUMIF('Historical Expenditure-Volumes'!$B$9:$B$22,'Gross Capex'!$B42,'Historical Expenditure-Volumes'!E$9:E$22)/1000+SUMIF('Historical Contributions'!$B$8:$B$20,'Gross Capex'!$B42,'Historical Contributions'!D$8:D$20)/1000</f>
        <v>0</v>
      </c>
      <c r="G42" s="96">
        <f>SUMIF('Historical Expenditure-Volumes'!$B$9:$B$22,'Gross Capex'!$B42,'Historical Expenditure-Volumes'!F$9:F$22)/1000+SUMIF('Historical Contributions'!$B$8:$B$20,'Gross Capex'!$B42,'Historical Contributions'!E$8:E$20)/1000</f>
        <v>0</v>
      </c>
      <c r="H42" s="96">
        <f>SUMIF('Historical Expenditure-Volumes'!$B$9:$B$22,'Gross Capex'!$B42,'Historical Expenditure-Volumes'!G$9:G$22)/1000+SUMIF('Historical Contributions'!$B$8:$B$20,'Gross Capex'!$B42,'Historical Contributions'!F$8:F$20)/1000</f>
        <v>0</v>
      </c>
      <c r="I42" s="185">
        <f>SUMIF('Forecast Expenditure-Volumes'!$B$92:$B$104,'Gross Capex'!$B42,'Forecast Expenditure-Volumes'!G$92:G$104)/1000+SUMIF('Forecast Contributions'!$B$8:$B$20,'Gross Capex'!$B42,'Forecast Contributions'!G$8:G$20)/1000</f>
        <v>0</v>
      </c>
      <c r="J42" s="185">
        <f>SUMIF('Forecast Expenditure-Volumes'!$B$92:$B$104,'Gross Capex'!$B42,'Forecast Expenditure-Volumes'!H$92:H$104)/1000+SUMIF('Forecast Contributions'!$B$8:$B$20,'Gross Capex'!$B42,'Forecast Contributions'!H$8:H$20)/1000</f>
        <v>0</v>
      </c>
      <c r="K42" s="185">
        <f>SUMIF('Forecast Expenditure-Volumes'!$B$92:$B$104,'Gross Capex'!$B42,'Forecast Expenditure-Volumes'!I$92:I$104)/1000+SUMIF('Forecast Contributions'!$B$8:$B$20,'Gross Capex'!$B42,'Forecast Contributions'!I$8:I$20)/1000</f>
        <v>0</v>
      </c>
      <c r="L42" s="185">
        <f>SUMIF('Forecast Expenditure-Volumes'!$B$92:$B$104,'Gross Capex'!$B42,'Forecast Expenditure-Volumes'!J$92:J$104)/1000+SUMIF('Forecast Contributions'!$B$8:$B$20,'Gross Capex'!$B42,'Forecast Contributions'!J$8:J$20)/1000</f>
        <v>0</v>
      </c>
      <c r="M42" s="185">
        <f>SUMIF('Forecast Expenditure-Volumes'!$B$92:$B$104,'Gross Capex'!$B42,'Forecast Expenditure-Volumes'!K$92:K$104)/1000+SUMIF('Forecast Contributions'!$B$8:$B$20,'Gross Capex'!$B42,'Forecast Contributions'!K$8:K$20)/1000</f>
        <v>0</v>
      </c>
      <c r="N42" s="185">
        <f>SUMIF('Forecast Expenditure-Volumes'!$B$92:$B$104,'Gross Capex'!$B42,'Forecast Expenditure-Volumes'!L$92:L$104)/1000+SUMIF('Forecast Contributions'!$B$8:$B$20,'Gross Capex'!$B42,'Forecast Contributions'!L$8:L$20)/1000</f>
        <v>0</v>
      </c>
      <c r="O42" s="185">
        <f>SUMIF('Forecast Expenditure-Volumes'!$B$92:$B$104,'Gross Capex'!$B42,'Forecast Expenditure-Volumes'!M$92:M$104)/1000+SUMIF('Forecast Contributions'!$B$8:$B$20,'Gross Capex'!$B42,'Forecast Contributions'!M$8:M$20)/1000</f>
        <v>0</v>
      </c>
      <c r="P42" s="143"/>
      <c r="Q42" s="143"/>
      <c r="R42" s="143"/>
      <c r="S42" s="143"/>
      <c r="T42" s="143"/>
    </row>
    <row r="43" spans="1:20" x14ac:dyDescent="0.2">
      <c r="A43" s="143"/>
      <c r="B43" s="36">
        <v>141</v>
      </c>
      <c r="C43" s="33" t="s">
        <v>118</v>
      </c>
      <c r="D43" s="143"/>
      <c r="E43" s="143"/>
      <c r="F43" s="96">
        <f>SUMIF('Historical Expenditure-Volumes'!$B$9:$B$22,'Gross Capex'!$B43,'Historical Expenditure-Volumes'!E$9:E$22)/1000+SUMIF('Historical Contributions'!$B$8:$B$20,'Gross Capex'!$B43,'Historical Contributions'!D$8:D$20)/1000</f>
        <v>0</v>
      </c>
      <c r="G43" s="96">
        <f>SUMIF('Historical Expenditure-Volumes'!$B$9:$B$22,'Gross Capex'!$B43,'Historical Expenditure-Volumes'!F$9:F$22)/1000+SUMIF('Historical Contributions'!$B$8:$B$20,'Gross Capex'!$B43,'Historical Contributions'!E$8:E$20)/1000</f>
        <v>0</v>
      </c>
      <c r="H43" s="96">
        <f>SUMIF('Historical Expenditure-Volumes'!$B$9:$B$22,'Gross Capex'!$B43,'Historical Expenditure-Volumes'!G$9:G$22)/1000+SUMIF('Historical Contributions'!$B$8:$B$20,'Gross Capex'!$B43,'Historical Contributions'!F$8:F$20)/1000</f>
        <v>0</v>
      </c>
      <c r="I43" s="185">
        <f>SUMIF('Forecast Expenditure-Volumes'!$B$92:$B$104,'Gross Capex'!$B43,'Forecast Expenditure-Volumes'!G$92:G$104)/1000+SUMIF('Forecast Contributions'!$B$8:$B$20,'Gross Capex'!$B43,'Forecast Contributions'!G$8:G$20)/1000</f>
        <v>0</v>
      </c>
      <c r="J43" s="185">
        <f>SUMIF('Forecast Expenditure-Volumes'!$B$92:$B$104,'Gross Capex'!$B43,'Forecast Expenditure-Volumes'!H$92:H$104)/1000+SUMIF('Forecast Contributions'!$B$8:$B$20,'Gross Capex'!$B43,'Forecast Contributions'!H$8:H$20)/1000</f>
        <v>0</v>
      </c>
      <c r="K43" s="185">
        <f>SUMIF('Forecast Expenditure-Volumes'!$B$92:$B$104,'Gross Capex'!$B43,'Forecast Expenditure-Volumes'!I$92:I$104)/1000+SUMIF('Forecast Contributions'!$B$8:$B$20,'Gross Capex'!$B43,'Forecast Contributions'!I$8:I$20)/1000</f>
        <v>0</v>
      </c>
      <c r="L43" s="185">
        <f>SUMIF('Forecast Expenditure-Volumes'!$B$92:$B$104,'Gross Capex'!$B43,'Forecast Expenditure-Volumes'!J$92:J$104)/1000+SUMIF('Forecast Contributions'!$B$8:$B$20,'Gross Capex'!$B43,'Forecast Contributions'!J$8:J$20)/1000</f>
        <v>0</v>
      </c>
      <c r="M43" s="185">
        <f>SUMIF('Forecast Expenditure-Volumes'!$B$92:$B$104,'Gross Capex'!$B43,'Forecast Expenditure-Volumes'!K$92:K$104)/1000+SUMIF('Forecast Contributions'!$B$8:$B$20,'Gross Capex'!$B43,'Forecast Contributions'!K$8:K$20)/1000</f>
        <v>0</v>
      </c>
      <c r="N43" s="185">
        <f>SUMIF('Forecast Expenditure-Volumes'!$B$92:$B$104,'Gross Capex'!$B43,'Forecast Expenditure-Volumes'!L$92:L$104)/1000+SUMIF('Forecast Contributions'!$B$8:$B$20,'Gross Capex'!$B43,'Forecast Contributions'!L$8:L$20)/1000</f>
        <v>0</v>
      </c>
      <c r="O43" s="185">
        <f>SUMIF('Forecast Expenditure-Volumes'!$B$92:$B$104,'Gross Capex'!$B43,'Forecast Expenditure-Volumes'!M$92:M$104)/1000+SUMIF('Forecast Contributions'!$B$8:$B$20,'Gross Capex'!$B43,'Forecast Contributions'!M$8:M$20)/1000</f>
        <v>0</v>
      </c>
      <c r="P43" s="143"/>
      <c r="Q43" s="143"/>
      <c r="R43" s="143"/>
      <c r="S43" s="143"/>
      <c r="T43" s="143"/>
    </row>
    <row r="44" spans="1:20" x14ac:dyDescent="0.2">
      <c r="A44" s="143"/>
      <c r="B44" s="36">
        <v>142</v>
      </c>
      <c r="C44" s="33" t="s">
        <v>119</v>
      </c>
      <c r="D44" s="143"/>
      <c r="E44" s="143"/>
      <c r="F44" s="96">
        <f>SUMIF('Historical Expenditure-Volumes'!$B$9:$B$22,'Gross Capex'!$B44,'Historical Expenditure-Volumes'!E$9:E$22)/1000+SUMIF('Historical Contributions'!$B$8:$B$20,'Gross Capex'!$B44,'Historical Contributions'!D$8:D$20)/1000</f>
        <v>0</v>
      </c>
      <c r="G44" s="96">
        <f>SUMIF('Historical Expenditure-Volumes'!$B$9:$B$22,'Gross Capex'!$B44,'Historical Expenditure-Volumes'!F$9:F$22)/1000+SUMIF('Historical Contributions'!$B$8:$B$20,'Gross Capex'!$B44,'Historical Contributions'!E$8:E$20)/1000</f>
        <v>0</v>
      </c>
      <c r="H44" s="96">
        <f>SUMIF('Historical Expenditure-Volumes'!$B$9:$B$22,'Gross Capex'!$B44,'Historical Expenditure-Volumes'!G$9:G$22)/1000+SUMIF('Historical Contributions'!$B$8:$B$20,'Gross Capex'!$B44,'Historical Contributions'!F$8:F$20)/1000</f>
        <v>0</v>
      </c>
      <c r="I44" s="185">
        <f>SUMIF('Forecast Expenditure-Volumes'!$B$92:$B$104,'Gross Capex'!$B44,'Forecast Expenditure-Volumes'!G$92:G$104)/1000+SUMIF('Forecast Contributions'!$B$8:$B$20,'Gross Capex'!$B44,'Forecast Contributions'!G$8:G$20)/1000</f>
        <v>0</v>
      </c>
      <c r="J44" s="185">
        <f>SUMIF('Forecast Expenditure-Volumes'!$B$92:$B$104,'Gross Capex'!$B44,'Forecast Expenditure-Volumes'!H$92:H$104)/1000+SUMIF('Forecast Contributions'!$B$8:$B$20,'Gross Capex'!$B44,'Forecast Contributions'!H$8:H$20)/1000</f>
        <v>0</v>
      </c>
      <c r="K44" s="185">
        <f>SUMIF('Forecast Expenditure-Volumes'!$B$92:$B$104,'Gross Capex'!$B44,'Forecast Expenditure-Volumes'!I$92:I$104)/1000+SUMIF('Forecast Contributions'!$B$8:$B$20,'Gross Capex'!$B44,'Forecast Contributions'!I$8:I$20)/1000</f>
        <v>0</v>
      </c>
      <c r="L44" s="185">
        <f>SUMIF('Forecast Expenditure-Volumes'!$B$92:$B$104,'Gross Capex'!$B44,'Forecast Expenditure-Volumes'!J$92:J$104)/1000+SUMIF('Forecast Contributions'!$B$8:$B$20,'Gross Capex'!$B44,'Forecast Contributions'!J$8:J$20)/1000</f>
        <v>0</v>
      </c>
      <c r="M44" s="185">
        <f>SUMIF('Forecast Expenditure-Volumes'!$B$92:$B$104,'Gross Capex'!$B44,'Forecast Expenditure-Volumes'!K$92:K$104)/1000+SUMIF('Forecast Contributions'!$B$8:$B$20,'Gross Capex'!$B44,'Forecast Contributions'!K$8:K$20)/1000</f>
        <v>0</v>
      </c>
      <c r="N44" s="185">
        <f>SUMIF('Forecast Expenditure-Volumes'!$B$92:$B$104,'Gross Capex'!$B44,'Forecast Expenditure-Volumes'!L$92:L$104)/1000+SUMIF('Forecast Contributions'!$B$8:$B$20,'Gross Capex'!$B44,'Forecast Contributions'!L$8:L$20)/1000</f>
        <v>0</v>
      </c>
      <c r="O44" s="185">
        <f>SUMIF('Forecast Expenditure-Volumes'!$B$92:$B$104,'Gross Capex'!$B44,'Forecast Expenditure-Volumes'!M$92:M$104)/1000+SUMIF('Forecast Contributions'!$B$8:$B$20,'Gross Capex'!$B44,'Forecast Contributions'!M$8:M$20)/1000</f>
        <v>0</v>
      </c>
      <c r="P44" s="143"/>
      <c r="Q44" s="143"/>
      <c r="R44" s="143"/>
      <c r="S44" s="143"/>
      <c r="T44" s="143"/>
    </row>
    <row r="45" spans="1:20" x14ac:dyDescent="0.2">
      <c r="A45" s="143"/>
      <c r="B45" s="36">
        <v>143</v>
      </c>
      <c r="C45" s="33" t="s">
        <v>120</v>
      </c>
      <c r="D45" s="143"/>
      <c r="E45" s="143"/>
      <c r="F45" s="96">
        <f>SUMIF('Historical Expenditure-Volumes'!$B$9:$B$22,'Gross Capex'!$B45,'Historical Expenditure-Volumes'!E$9:E$22)/1000+SUMIF('Historical Contributions'!$B$8:$B$20,'Gross Capex'!$B45,'Historical Contributions'!D$8:D$20)/1000</f>
        <v>0</v>
      </c>
      <c r="G45" s="96">
        <f>SUMIF('Historical Expenditure-Volumes'!$B$9:$B$22,'Gross Capex'!$B45,'Historical Expenditure-Volumes'!F$9:F$22)/1000+SUMIF('Historical Contributions'!$B$8:$B$20,'Gross Capex'!$B45,'Historical Contributions'!E$8:E$20)/1000</f>
        <v>0</v>
      </c>
      <c r="H45" s="96">
        <f>SUMIF('Historical Expenditure-Volumes'!$B$9:$B$22,'Gross Capex'!$B45,'Historical Expenditure-Volumes'!G$9:G$22)/1000+SUMIF('Historical Contributions'!$B$8:$B$20,'Gross Capex'!$B45,'Historical Contributions'!F$8:F$20)/1000</f>
        <v>0</v>
      </c>
      <c r="I45" s="185">
        <f>SUMIF('Forecast Expenditure-Volumes'!$B$92:$B$104,'Gross Capex'!$B45,'Forecast Expenditure-Volumes'!G$92:G$104)/1000+SUMIF('Forecast Contributions'!$B$8:$B$20,'Gross Capex'!$B45,'Forecast Contributions'!G$8:G$20)/1000</f>
        <v>0</v>
      </c>
      <c r="J45" s="185">
        <f>SUMIF('Forecast Expenditure-Volumes'!$B$92:$B$104,'Gross Capex'!$B45,'Forecast Expenditure-Volumes'!H$92:H$104)/1000+SUMIF('Forecast Contributions'!$B$8:$B$20,'Gross Capex'!$B45,'Forecast Contributions'!H$8:H$20)/1000</f>
        <v>0</v>
      </c>
      <c r="K45" s="185">
        <f>SUMIF('Forecast Expenditure-Volumes'!$B$92:$B$104,'Gross Capex'!$B45,'Forecast Expenditure-Volumes'!I$92:I$104)/1000+SUMIF('Forecast Contributions'!$B$8:$B$20,'Gross Capex'!$B45,'Forecast Contributions'!I$8:I$20)/1000</f>
        <v>0</v>
      </c>
      <c r="L45" s="185">
        <f>SUMIF('Forecast Expenditure-Volumes'!$B$92:$B$104,'Gross Capex'!$B45,'Forecast Expenditure-Volumes'!J$92:J$104)/1000+SUMIF('Forecast Contributions'!$B$8:$B$20,'Gross Capex'!$B45,'Forecast Contributions'!J$8:J$20)/1000</f>
        <v>0</v>
      </c>
      <c r="M45" s="185">
        <f>SUMIF('Forecast Expenditure-Volumes'!$B$92:$B$104,'Gross Capex'!$B45,'Forecast Expenditure-Volumes'!K$92:K$104)/1000+SUMIF('Forecast Contributions'!$B$8:$B$20,'Gross Capex'!$B45,'Forecast Contributions'!K$8:K$20)/1000</f>
        <v>0</v>
      </c>
      <c r="N45" s="185">
        <f>SUMIF('Forecast Expenditure-Volumes'!$B$92:$B$104,'Gross Capex'!$B45,'Forecast Expenditure-Volumes'!L$92:L$104)/1000+SUMIF('Forecast Contributions'!$B$8:$B$20,'Gross Capex'!$B45,'Forecast Contributions'!L$8:L$20)/1000</f>
        <v>0</v>
      </c>
      <c r="O45" s="185">
        <f>SUMIF('Forecast Expenditure-Volumes'!$B$92:$B$104,'Gross Capex'!$B45,'Forecast Expenditure-Volumes'!M$92:M$104)/1000+SUMIF('Forecast Contributions'!$B$8:$B$20,'Gross Capex'!$B45,'Forecast Contributions'!M$8:M$20)/1000</f>
        <v>0</v>
      </c>
      <c r="P45" s="143"/>
      <c r="Q45" s="143"/>
      <c r="R45" s="143"/>
      <c r="S45" s="143"/>
      <c r="T45" s="143"/>
    </row>
    <row r="46" spans="1:20" x14ac:dyDescent="0.2">
      <c r="A46" s="143"/>
      <c r="B46" s="36">
        <v>144</v>
      </c>
      <c r="C46" s="33" t="s">
        <v>121</v>
      </c>
      <c r="D46" s="143"/>
      <c r="E46" s="143"/>
      <c r="F46" s="96">
        <f>SUMIF('Historical Expenditure-Volumes'!$B$9:$B$22,'Gross Capex'!$B46,'Historical Expenditure-Volumes'!E$9:E$22)/1000+SUMIF('Historical Contributions'!$B$8:$B$20,'Gross Capex'!$B46,'Historical Contributions'!D$8:D$20)/1000</f>
        <v>0</v>
      </c>
      <c r="G46" s="96">
        <f>SUMIF('Historical Expenditure-Volumes'!$B$9:$B$22,'Gross Capex'!$B46,'Historical Expenditure-Volumes'!F$9:F$22)/1000+SUMIF('Historical Contributions'!$B$8:$B$20,'Gross Capex'!$B46,'Historical Contributions'!E$8:E$20)/1000</f>
        <v>0</v>
      </c>
      <c r="H46" s="96">
        <f>SUMIF('Historical Expenditure-Volumes'!$B$9:$B$22,'Gross Capex'!$B46,'Historical Expenditure-Volumes'!G$9:G$22)/1000+SUMIF('Historical Contributions'!$B$8:$B$20,'Gross Capex'!$B46,'Historical Contributions'!F$8:F$20)/1000</f>
        <v>0</v>
      </c>
      <c r="I46" s="185">
        <f>SUMIF('Forecast Expenditure-Volumes'!$B$92:$B$104,'Gross Capex'!$B46,'Forecast Expenditure-Volumes'!G$92:G$104)/1000+SUMIF('Forecast Contributions'!$B$8:$B$20,'Gross Capex'!$B46,'Forecast Contributions'!G$8:G$20)/1000</f>
        <v>0</v>
      </c>
      <c r="J46" s="185">
        <f>SUMIF('Forecast Expenditure-Volumes'!$B$92:$B$104,'Gross Capex'!$B46,'Forecast Expenditure-Volumes'!H$92:H$104)/1000+SUMIF('Forecast Contributions'!$B$8:$B$20,'Gross Capex'!$B46,'Forecast Contributions'!H$8:H$20)/1000</f>
        <v>0</v>
      </c>
      <c r="K46" s="185">
        <f>SUMIF('Forecast Expenditure-Volumes'!$B$92:$B$104,'Gross Capex'!$B46,'Forecast Expenditure-Volumes'!I$92:I$104)/1000+SUMIF('Forecast Contributions'!$B$8:$B$20,'Gross Capex'!$B46,'Forecast Contributions'!I$8:I$20)/1000</f>
        <v>0</v>
      </c>
      <c r="L46" s="185">
        <f>SUMIF('Forecast Expenditure-Volumes'!$B$92:$B$104,'Gross Capex'!$B46,'Forecast Expenditure-Volumes'!J$92:J$104)/1000+SUMIF('Forecast Contributions'!$B$8:$B$20,'Gross Capex'!$B46,'Forecast Contributions'!J$8:J$20)/1000</f>
        <v>0</v>
      </c>
      <c r="M46" s="185">
        <f>SUMIF('Forecast Expenditure-Volumes'!$B$92:$B$104,'Gross Capex'!$B46,'Forecast Expenditure-Volumes'!K$92:K$104)/1000+SUMIF('Forecast Contributions'!$B$8:$B$20,'Gross Capex'!$B46,'Forecast Contributions'!K$8:K$20)/1000</f>
        <v>0</v>
      </c>
      <c r="N46" s="185">
        <f>SUMIF('Forecast Expenditure-Volumes'!$B$92:$B$104,'Gross Capex'!$B46,'Forecast Expenditure-Volumes'!L$92:L$104)/1000+SUMIF('Forecast Contributions'!$B$8:$B$20,'Gross Capex'!$B46,'Forecast Contributions'!L$8:L$20)/1000</f>
        <v>0</v>
      </c>
      <c r="O46" s="185">
        <f>SUMIF('Forecast Expenditure-Volumes'!$B$92:$B$104,'Gross Capex'!$B46,'Forecast Expenditure-Volumes'!M$92:M$104)/1000+SUMIF('Forecast Contributions'!$B$8:$B$20,'Gross Capex'!$B46,'Forecast Contributions'!M$8:M$20)/1000</f>
        <v>0</v>
      </c>
      <c r="P46" s="143"/>
      <c r="Q46" s="143"/>
      <c r="R46" s="143"/>
      <c r="S46" s="143"/>
      <c r="T46" s="143"/>
    </row>
    <row r="47" spans="1:20" x14ac:dyDescent="0.2">
      <c r="A47" s="143"/>
      <c r="B47" s="36">
        <v>145</v>
      </c>
      <c r="C47" s="33" t="s">
        <v>122</v>
      </c>
      <c r="D47" s="143"/>
      <c r="E47" s="143"/>
      <c r="F47" s="96">
        <f>SUMIF('Historical Expenditure-Volumes'!$B$9:$B$22,'Gross Capex'!$B47,'Historical Expenditure-Volumes'!E$9:E$22)/1000+SUMIF('Historical Contributions'!$B$8:$B$20,'Gross Capex'!$B47,'Historical Contributions'!D$8:D$20)/1000</f>
        <v>0</v>
      </c>
      <c r="G47" s="96">
        <f>SUMIF('Historical Expenditure-Volumes'!$B$9:$B$22,'Gross Capex'!$B47,'Historical Expenditure-Volumes'!F$9:F$22)/1000+SUMIF('Historical Contributions'!$B$8:$B$20,'Gross Capex'!$B47,'Historical Contributions'!E$8:E$20)/1000</f>
        <v>0</v>
      </c>
      <c r="H47" s="96">
        <f>SUMIF('Historical Expenditure-Volumes'!$B$9:$B$22,'Gross Capex'!$B47,'Historical Expenditure-Volumes'!G$9:G$22)/1000+SUMIF('Historical Contributions'!$B$8:$B$20,'Gross Capex'!$B47,'Historical Contributions'!F$8:F$20)/1000</f>
        <v>0</v>
      </c>
      <c r="I47" s="185">
        <f>SUMIF('Forecast Expenditure-Volumes'!$B$92:$B$104,'Gross Capex'!$B47,'Forecast Expenditure-Volumes'!G$92:G$104)/1000+SUMIF('Forecast Contributions'!$B$8:$B$20,'Gross Capex'!$B47,'Forecast Contributions'!G$8:G$20)/1000</f>
        <v>0</v>
      </c>
      <c r="J47" s="185">
        <f>SUMIF('Forecast Expenditure-Volumes'!$B$92:$B$104,'Gross Capex'!$B47,'Forecast Expenditure-Volumes'!H$92:H$104)/1000+SUMIF('Forecast Contributions'!$B$8:$B$20,'Gross Capex'!$B47,'Forecast Contributions'!H$8:H$20)/1000</f>
        <v>0</v>
      </c>
      <c r="K47" s="185">
        <f>SUMIF('Forecast Expenditure-Volumes'!$B$92:$B$104,'Gross Capex'!$B47,'Forecast Expenditure-Volumes'!I$92:I$104)/1000+SUMIF('Forecast Contributions'!$B$8:$B$20,'Gross Capex'!$B47,'Forecast Contributions'!I$8:I$20)/1000</f>
        <v>0</v>
      </c>
      <c r="L47" s="185">
        <f>SUMIF('Forecast Expenditure-Volumes'!$B$92:$B$104,'Gross Capex'!$B47,'Forecast Expenditure-Volumes'!J$92:J$104)/1000+SUMIF('Forecast Contributions'!$B$8:$B$20,'Gross Capex'!$B47,'Forecast Contributions'!J$8:J$20)/1000</f>
        <v>0</v>
      </c>
      <c r="M47" s="185">
        <f>SUMIF('Forecast Expenditure-Volumes'!$B$92:$B$104,'Gross Capex'!$B47,'Forecast Expenditure-Volumes'!K$92:K$104)/1000+SUMIF('Forecast Contributions'!$B$8:$B$20,'Gross Capex'!$B47,'Forecast Contributions'!K$8:K$20)/1000</f>
        <v>0</v>
      </c>
      <c r="N47" s="185">
        <f>SUMIF('Forecast Expenditure-Volumes'!$B$92:$B$104,'Gross Capex'!$B47,'Forecast Expenditure-Volumes'!L$92:L$104)/1000+SUMIF('Forecast Contributions'!$B$8:$B$20,'Gross Capex'!$B47,'Forecast Contributions'!L$8:L$20)/1000</f>
        <v>0</v>
      </c>
      <c r="O47" s="185">
        <f>SUMIF('Forecast Expenditure-Volumes'!$B$92:$B$104,'Gross Capex'!$B47,'Forecast Expenditure-Volumes'!M$92:M$104)/1000+SUMIF('Forecast Contributions'!$B$8:$B$20,'Gross Capex'!$B47,'Forecast Contributions'!M$8:M$20)/1000</f>
        <v>0</v>
      </c>
      <c r="P47" s="143"/>
      <c r="Q47" s="143"/>
      <c r="R47" s="143"/>
      <c r="S47" s="143"/>
      <c r="T47" s="143"/>
    </row>
    <row r="48" spans="1:20" x14ac:dyDescent="0.2">
      <c r="A48" s="143"/>
      <c r="B48" s="36">
        <v>146</v>
      </c>
      <c r="C48" s="33" t="s">
        <v>123</v>
      </c>
      <c r="D48" s="143"/>
      <c r="E48" s="143"/>
      <c r="F48" s="96">
        <f>SUMIF('Historical Expenditure-Volumes'!$B$9:$B$22,'Gross Capex'!$B48,'Historical Expenditure-Volumes'!E$9:E$22)/1000+SUMIF('Historical Contributions'!$B$8:$B$20,'Gross Capex'!$B48,'Historical Contributions'!D$8:D$20)/1000</f>
        <v>0</v>
      </c>
      <c r="G48" s="96">
        <f>SUMIF('Historical Expenditure-Volumes'!$B$9:$B$22,'Gross Capex'!$B48,'Historical Expenditure-Volumes'!F$9:F$22)/1000+SUMIF('Historical Contributions'!$B$8:$B$20,'Gross Capex'!$B48,'Historical Contributions'!E$8:E$20)/1000</f>
        <v>0</v>
      </c>
      <c r="H48" s="96">
        <f>SUMIF('Historical Expenditure-Volumes'!$B$9:$B$22,'Gross Capex'!$B48,'Historical Expenditure-Volumes'!G$9:G$22)/1000+SUMIF('Historical Contributions'!$B$8:$B$20,'Gross Capex'!$B48,'Historical Contributions'!F$8:F$20)/1000</f>
        <v>0</v>
      </c>
      <c r="I48" s="185">
        <f>SUMIF('Forecast Expenditure-Volumes'!$B$92:$B$104,'Gross Capex'!$B48,'Forecast Expenditure-Volumes'!G$92:G$104)/1000+SUMIF('Forecast Contributions'!$B$8:$B$20,'Gross Capex'!$B48,'Forecast Contributions'!G$8:G$20)/1000</f>
        <v>0</v>
      </c>
      <c r="J48" s="185">
        <f>SUMIF('Forecast Expenditure-Volumes'!$B$92:$B$104,'Gross Capex'!$B48,'Forecast Expenditure-Volumes'!H$92:H$104)/1000+SUMIF('Forecast Contributions'!$B$8:$B$20,'Gross Capex'!$B48,'Forecast Contributions'!H$8:H$20)/1000</f>
        <v>0</v>
      </c>
      <c r="K48" s="185">
        <f>SUMIF('Forecast Expenditure-Volumes'!$B$92:$B$104,'Gross Capex'!$B48,'Forecast Expenditure-Volumes'!I$92:I$104)/1000+SUMIF('Forecast Contributions'!$B$8:$B$20,'Gross Capex'!$B48,'Forecast Contributions'!I$8:I$20)/1000</f>
        <v>0</v>
      </c>
      <c r="L48" s="185">
        <f>SUMIF('Forecast Expenditure-Volumes'!$B$92:$B$104,'Gross Capex'!$B48,'Forecast Expenditure-Volumes'!J$92:J$104)/1000+SUMIF('Forecast Contributions'!$B$8:$B$20,'Gross Capex'!$B48,'Forecast Contributions'!J$8:J$20)/1000</f>
        <v>0</v>
      </c>
      <c r="M48" s="185">
        <f>SUMIF('Forecast Expenditure-Volumes'!$B$92:$B$104,'Gross Capex'!$B48,'Forecast Expenditure-Volumes'!K$92:K$104)/1000+SUMIF('Forecast Contributions'!$B$8:$B$20,'Gross Capex'!$B48,'Forecast Contributions'!K$8:K$20)/1000</f>
        <v>0</v>
      </c>
      <c r="N48" s="185">
        <f>SUMIF('Forecast Expenditure-Volumes'!$B$92:$B$104,'Gross Capex'!$B48,'Forecast Expenditure-Volumes'!L$92:L$104)/1000+SUMIF('Forecast Contributions'!$B$8:$B$20,'Gross Capex'!$B48,'Forecast Contributions'!L$8:L$20)/1000</f>
        <v>0</v>
      </c>
      <c r="O48" s="185">
        <f>SUMIF('Forecast Expenditure-Volumes'!$B$92:$B$104,'Gross Capex'!$B48,'Forecast Expenditure-Volumes'!M$92:M$104)/1000+SUMIF('Forecast Contributions'!$B$8:$B$20,'Gross Capex'!$B48,'Forecast Contributions'!M$8:M$20)/1000</f>
        <v>0</v>
      </c>
      <c r="P48" s="143"/>
      <c r="Q48" s="143"/>
      <c r="R48" s="143"/>
      <c r="S48" s="143"/>
      <c r="T48" s="143"/>
    </row>
    <row r="49" spans="1:20" x14ac:dyDescent="0.2">
      <c r="A49" s="143"/>
      <c r="B49" s="36">
        <v>147</v>
      </c>
      <c r="C49" s="33" t="s">
        <v>124</v>
      </c>
      <c r="D49" s="143"/>
      <c r="E49" s="143"/>
      <c r="F49" s="96">
        <f>SUMIF('Historical Expenditure-Volumes'!$B$9:$B$22,'Gross Capex'!$B49,'Historical Expenditure-Volumes'!E$9:E$22)/1000+SUMIF('Historical Contributions'!$B$8:$B$20,'Gross Capex'!$B49,'Historical Contributions'!D$8:D$20)/1000</f>
        <v>0</v>
      </c>
      <c r="G49" s="96">
        <f>SUMIF('Historical Expenditure-Volumes'!$B$9:$B$22,'Gross Capex'!$B49,'Historical Expenditure-Volumes'!F$9:F$22)/1000+SUMIF('Historical Contributions'!$B$8:$B$20,'Gross Capex'!$B49,'Historical Contributions'!E$8:E$20)/1000</f>
        <v>0</v>
      </c>
      <c r="H49" s="96">
        <f>SUMIF('Historical Expenditure-Volumes'!$B$9:$B$22,'Gross Capex'!$B49,'Historical Expenditure-Volumes'!G$9:G$22)/1000+SUMIF('Historical Contributions'!$B$8:$B$20,'Gross Capex'!$B49,'Historical Contributions'!F$8:F$20)/1000</f>
        <v>0</v>
      </c>
      <c r="I49" s="185">
        <f>SUMIF('Forecast Expenditure-Volumes'!$B$92:$B$104,'Gross Capex'!$B49,'Forecast Expenditure-Volumes'!G$92:G$104)/1000+SUMIF('Forecast Contributions'!$B$8:$B$20,'Gross Capex'!$B49,'Forecast Contributions'!G$8:G$20)/1000</f>
        <v>0</v>
      </c>
      <c r="J49" s="185">
        <f>SUMIF('Forecast Expenditure-Volumes'!$B$92:$B$104,'Gross Capex'!$B49,'Forecast Expenditure-Volumes'!H$92:H$104)/1000+SUMIF('Forecast Contributions'!$B$8:$B$20,'Gross Capex'!$B49,'Forecast Contributions'!H$8:H$20)/1000</f>
        <v>0</v>
      </c>
      <c r="K49" s="185">
        <f>SUMIF('Forecast Expenditure-Volumes'!$B$92:$B$104,'Gross Capex'!$B49,'Forecast Expenditure-Volumes'!I$92:I$104)/1000+SUMIF('Forecast Contributions'!$B$8:$B$20,'Gross Capex'!$B49,'Forecast Contributions'!I$8:I$20)/1000</f>
        <v>0</v>
      </c>
      <c r="L49" s="185">
        <f>SUMIF('Forecast Expenditure-Volumes'!$B$92:$B$104,'Gross Capex'!$B49,'Forecast Expenditure-Volumes'!J$92:J$104)/1000+SUMIF('Forecast Contributions'!$B$8:$B$20,'Gross Capex'!$B49,'Forecast Contributions'!J$8:J$20)/1000</f>
        <v>0</v>
      </c>
      <c r="M49" s="185">
        <f>SUMIF('Forecast Expenditure-Volumes'!$B$92:$B$104,'Gross Capex'!$B49,'Forecast Expenditure-Volumes'!K$92:K$104)/1000+SUMIF('Forecast Contributions'!$B$8:$B$20,'Gross Capex'!$B49,'Forecast Contributions'!K$8:K$20)/1000</f>
        <v>0</v>
      </c>
      <c r="N49" s="185">
        <f>SUMIF('Forecast Expenditure-Volumes'!$B$92:$B$104,'Gross Capex'!$B49,'Forecast Expenditure-Volumes'!L$92:L$104)/1000+SUMIF('Forecast Contributions'!$B$8:$B$20,'Gross Capex'!$B49,'Forecast Contributions'!L$8:L$20)/1000</f>
        <v>0</v>
      </c>
      <c r="O49" s="185">
        <f>SUMIF('Forecast Expenditure-Volumes'!$B$92:$B$104,'Gross Capex'!$B49,'Forecast Expenditure-Volumes'!M$92:M$104)/1000+SUMIF('Forecast Contributions'!$B$8:$B$20,'Gross Capex'!$B49,'Forecast Contributions'!M$8:M$20)/1000</f>
        <v>0</v>
      </c>
      <c r="P49" s="143"/>
      <c r="Q49" s="143"/>
      <c r="R49" s="143"/>
      <c r="S49" s="143"/>
      <c r="T49" s="143"/>
    </row>
    <row r="50" spans="1:20" x14ac:dyDescent="0.2">
      <c r="A50" s="143"/>
      <c r="B50" s="36">
        <v>148</v>
      </c>
      <c r="C50" s="33" t="s">
        <v>125</v>
      </c>
      <c r="D50" s="143"/>
      <c r="E50" s="143"/>
      <c r="F50" s="96">
        <f>SUMIF('Historical Expenditure-Volumes'!$B$9:$B$22,'Gross Capex'!$B50,'Historical Expenditure-Volumes'!E$9:E$22)/1000+SUMIF('Historical Contributions'!$B$8:$B$20,'Gross Capex'!$B50,'Historical Contributions'!D$8:D$20)/1000</f>
        <v>0</v>
      </c>
      <c r="G50" s="96">
        <f>SUMIF('Historical Expenditure-Volumes'!$B$9:$B$22,'Gross Capex'!$B50,'Historical Expenditure-Volumes'!F$9:F$22)/1000+SUMIF('Historical Contributions'!$B$8:$B$20,'Gross Capex'!$B50,'Historical Contributions'!E$8:E$20)/1000</f>
        <v>0</v>
      </c>
      <c r="H50" s="96">
        <f>SUMIF('Historical Expenditure-Volumes'!$B$9:$B$22,'Gross Capex'!$B50,'Historical Expenditure-Volumes'!G$9:G$22)/1000+SUMIF('Historical Contributions'!$B$8:$B$20,'Gross Capex'!$B50,'Historical Contributions'!F$8:F$20)/1000</f>
        <v>0</v>
      </c>
      <c r="I50" s="185">
        <f>SUMIF('Forecast Expenditure-Volumes'!$B$92:$B$104,'Gross Capex'!$B50,'Forecast Expenditure-Volumes'!G$92:G$104)/1000+SUMIF('Forecast Contributions'!$B$8:$B$20,'Gross Capex'!$B50,'Forecast Contributions'!G$8:G$20)/1000</f>
        <v>0</v>
      </c>
      <c r="J50" s="185">
        <f>SUMIF('Forecast Expenditure-Volumes'!$B$92:$B$104,'Gross Capex'!$B50,'Forecast Expenditure-Volumes'!H$92:H$104)/1000+SUMIF('Forecast Contributions'!$B$8:$B$20,'Gross Capex'!$B50,'Forecast Contributions'!H$8:H$20)/1000</f>
        <v>0</v>
      </c>
      <c r="K50" s="185">
        <f>SUMIF('Forecast Expenditure-Volumes'!$B$92:$B$104,'Gross Capex'!$B50,'Forecast Expenditure-Volumes'!I$92:I$104)/1000+SUMIF('Forecast Contributions'!$B$8:$B$20,'Gross Capex'!$B50,'Forecast Contributions'!I$8:I$20)/1000</f>
        <v>0</v>
      </c>
      <c r="L50" s="185">
        <f>SUMIF('Forecast Expenditure-Volumes'!$B$92:$B$104,'Gross Capex'!$B50,'Forecast Expenditure-Volumes'!J$92:J$104)/1000+SUMIF('Forecast Contributions'!$B$8:$B$20,'Gross Capex'!$B50,'Forecast Contributions'!J$8:J$20)/1000</f>
        <v>0</v>
      </c>
      <c r="M50" s="185">
        <f>SUMIF('Forecast Expenditure-Volumes'!$B$92:$B$104,'Gross Capex'!$B50,'Forecast Expenditure-Volumes'!K$92:K$104)/1000+SUMIF('Forecast Contributions'!$B$8:$B$20,'Gross Capex'!$B50,'Forecast Contributions'!K$8:K$20)/1000</f>
        <v>0</v>
      </c>
      <c r="N50" s="185">
        <f>SUMIF('Forecast Expenditure-Volumes'!$B$92:$B$104,'Gross Capex'!$B50,'Forecast Expenditure-Volumes'!L$92:L$104)/1000+SUMIF('Forecast Contributions'!$B$8:$B$20,'Gross Capex'!$B50,'Forecast Contributions'!L$8:L$20)/1000</f>
        <v>0</v>
      </c>
      <c r="O50" s="185">
        <f>SUMIF('Forecast Expenditure-Volumes'!$B$92:$B$104,'Gross Capex'!$B50,'Forecast Expenditure-Volumes'!M$92:M$104)/1000+SUMIF('Forecast Contributions'!$B$8:$B$20,'Gross Capex'!$B50,'Forecast Contributions'!M$8:M$20)/1000</f>
        <v>0</v>
      </c>
      <c r="P50" s="143"/>
      <c r="Q50" s="143"/>
      <c r="R50" s="143"/>
      <c r="S50" s="143"/>
      <c r="T50" s="143"/>
    </row>
    <row r="51" spans="1:20" x14ac:dyDescent="0.2">
      <c r="A51" s="143"/>
      <c r="B51" s="36">
        <v>149</v>
      </c>
      <c r="C51" s="33" t="s">
        <v>126</v>
      </c>
      <c r="D51" s="143"/>
      <c r="E51" s="143"/>
      <c r="F51" s="96">
        <f>SUMIF('Historical Expenditure-Volumes'!$B$9:$B$22,'Gross Capex'!$B51,'Historical Expenditure-Volumes'!E$9:E$22)/1000+SUMIF('Historical Contributions'!$B$8:$B$20,'Gross Capex'!$B51,'Historical Contributions'!D$8:D$20)/1000</f>
        <v>0</v>
      </c>
      <c r="G51" s="96">
        <f>SUMIF('Historical Expenditure-Volumes'!$B$9:$B$22,'Gross Capex'!$B51,'Historical Expenditure-Volumes'!F$9:F$22)/1000+SUMIF('Historical Contributions'!$B$8:$B$20,'Gross Capex'!$B51,'Historical Contributions'!E$8:E$20)/1000</f>
        <v>0</v>
      </c>
      <c r="H51" s="96">
        <f>SUMIF('Historical Expenditure-Volumes'!$B$9:$B$22,'Gross Capex'!$B51,'Historical Expenditure-Volumes'!G$9:G$22)/1000+SUMIF('Historical Contributions'!$B$8:$B$20,'Gross Capex'!$B51,'Historical Contributions'!F$8:F$20)/1000</f>
        <v>0</v>
      </c>
      <c r="I51" s="185">
        <f>SUMIF('Forecast Expenditure-Volumes'!$B$92:$B$104,'Gross Capex'!$B51,'Forecast Expenditure-Volumes'!G$92:G$104)/1000+SUMIF('Forecast Contributions'!$B$8:$B$20,'Gross Capex'!$B51,'Forecast Contributions'!G$8:G$20)/1000</f>
        <v>0</v>
      </c>
      <c r="J51" s="185">
        <f>SUMIF('Forecast Expenditure-Volumes'!$B$92:$B$104,'Gross Capex'!$B51,'Forecast Expenditure-Volumes'!H$92:H$104)/1000+SUMIF('Forecast Contributions'!$B$8:$B$20,'Gross Capex'!$B51,'Forecast Contributions'!H$8:H$20)/1000</f>
        <v>0</v>
      </c>
      <c r="K51" s="185">
        <f>SUMIF('Forecast Expenditure-Volumes'!$B$92:$B$104,'Gross Capex'!$B51,'Forecast Expenditure-Volumes'!I$92:I$104)/1000+SUMIF('Forecast Contributions'!$B$8:$B$20,'Gross Capex'!$B51,'Forecast Contributions'!I$8:I$20)/1000</f>
        <v>0</v>
      </c>
      <c r="L51" s="185">
        <f>SUMIF('Forecast Expenditure-Volumes'!$B$92:$B$104,'Gross Capex'!$B51,'Forecast Expenditure-Volumes'!J$92:J$104)/1000+SUMIF('Forecast Contributions'!$B$8:$B$20,'Gross Capex'!$B51,'Forecast Contributions'!J$8:J$20)/1000</f>
        <v>0</v>
      </c>
      <c r="M51" s="185">
        <f>SUMIF('Forecast Expenditure-Volumes'!$B$92:$B$104,'Gross Capex'!$B51,'Forecast Expenditure-Volumes'!K$92:K$104)/1000+SUMIF('Forecast Contributions'!$B$8:$B$20,'Gross Capex'!$B51,'Forecast Contributions'!K$8:K$20)/1000</f>
        <v>0</v>
      </c>
      <c r="N51" s="185">
        <f>SUMIF('Forecast Expenditure-Volumes'!$B$92:$B$104,'Gross Capex'!$B51,'Forecast Expenditure-Volumes'!L$92:L$104)/1000+SUMIF('Forecast Contributions'!$B$8:$B$20,'Gross Capex'!$B51,'Forecast Contributions'!L$8:L$20)/1000</f>
        <v>0</v>
      </c>
      <c r="O51" s="185">
        <f>SUMIF('Forecast Expenditure-Volumes'!$B$92:$B$104,'Gross Capex'!$B51,'Forecast Expenditure-Volumes'!M$92:M$104)/1000+SUMIF('Forecast Contributions'!$B$8:$B$20,'Gross Capex'!$B51,'Forecast Contributions'!M$8:M$20)/1000</f>
        <v>0</v>
      </c>
      <c r="P51" s="143"/>
      <c r="Q51" s="143"/>
      <c r="R51" s="143"/>
      <c r="S51" s="143"/>
      <c r="T51" s="143"/>
    </row>
    <row r="52" spans="1:20" x14ac:dyDescent="0.2">
      <c r="A52" s="143"/>
      <c r="B52" s="36">
        <v>150</v>
      </c>
      <c r="C52" s="33" t="s">
        <v>127</v>
      </c>
      <c r="D52" s="143"/>
      <c r="E52" s="143"/>
      <c r="F52" s="96">
        <f>SUMIF('Historical Expenditure-Volumes'!$B$9:$B$22,'Gross Capex'!$B52,'Historical Expenditure-Volumes'!E$9:E$22)/1000+SUMIF('Historical Contributions'!$B$8:$B$20,'Gross Capex'!$B52,'Historical Contributions'!D$8:D$20)/1000</f>
        <v>0</v>
      </c>
      <c r="G52" s="96">
        <f>SUMIF('Historical Expenditure-Volumes'!$B$9:$B$22,'Gross Capex'!$B52,'Historical Expenditure-Volumes'!F$9:F$22)/1000+SUMIF('Historical Contributions'!$B$8:$B$20,'Gross Capex'!$B52,'Historical Contributions'!E$8:E$20)/1000</f>
        <v>0</v>
      </c>
      <c r="H52" s="96">
        <f>SUMIF('Historical Expenditure-Volumes'!$B$9:$B$22,'Gross Capex'!$B52,'Historical Expenditure-Volumes'!G$9:G$22)/1000+SUMIF('Historical Contributions'!$B$8:$B$20,'Gross Capex'!$B52,'Historical Contributions'!F$8:F$20)/1000</f>
        <v>0</v>
      </c>
      <c r="I52" s="185">
        <f>SUMIF('Forecast Expenditure-Volumes'!$B$92:$B$104,'Gross Capex'!$B52,'Forecast Expenditure-Volumes'!G$92:G$104)/1000+SUMIF('Forecast Contributions'!$B$8:$B$20,'Gross Capex'!$B52,'Forecast Contributions'!G$8:G$20)/1000</f>
        <v>0</v>
      </c>
      <c r="J52" s="185">
        <f>SUMIF('Forecast Expenditure-Volumes'!$B$92:$B$104,'Gross Capex'!$B52,'Forecast Expenditure-Volumes'!H$92:H$104)/1000+SUMIF('Forecast Contributions'!$B$8:$B$20,'Gross Capex'!$B52,'Forecast Contributions'!H$8:H$20)/1000</f>
        <v>0</v>
      </c>
      <c r="K52" s="185">
        <f>SUMIF('Forecast Expenditure-Volumes'!$B$92:$B$104,'Gross Capex'!$B52,'Forecast Expenditure-Volumes'!I$92:I$104)/1000+SUMIF('Forecast Contributions'!$B$8:$B$20,'Gross Capex'!$B52,'Forecast Contributions'!I$8:I$20)/1000</f>
        <v>0</v>
      </c>
      <c r="L52" s="185">
        <f>SUMIF('Forecast Expenditure-Volumes'!$B$92:$B$104,'Gross Capex'!$B52,'Forecast Expenditure-Volumes'!J$92:J$104)/1000+SUMIF('Forecast Contributions'!$B$8:$B$20,'Gross Capex'!$B52,'Forecast Contributions'!J$8:J$20)/1000</f>
        <v>0</v>
      </c>
      <c r="M52" s="185">
        <f>SUMIF('Forecast Expenditure-Volumes'!$B$92:$B$104,'Gross Capex'!$B52,'Forecast Expenditure-Volumes'!K$92:K$104)/1000+SUMIF('Forecast Contributions'!$B$8:$B$20,'Gross Capex'!$B52,'Forecast Contributions'!K$8:K$20)/1000</f>
        <v>0</v>
      </c>
      <c r="N52" s="185">
        <f>SUMIF('Forecast Expenditure-Volumes'!$B$92:$B$104,'Gross Capex'!$B52,'Forecast Expenditure-Volumes'!L$92:L$104)/1000+SUMIF('Forecast Contributions'!$B$8:$B$20,'Gross Capex'!$B52,'Forecast Contributions'!L$8:L$20)/1000</f>
        <v>0</v>
      </c>
      <c r="O52" s="185">
        <f>SUMIF('Forecast Expenditure-Volumes'!$B$92:$B$104,'Gross Capex'!$B52,'Forecast Expenditure-Volumes'!M$92:M$104)/1000+SUMIF('Forecast Contributions'!$B$8:$B$20,'Gross Capex'!$B52,'Forecast Contributions'!M$8:M$20)/1000</f>
        <v>0</v>
      </c>
      <c r="P52" s="143"/>
      <c r="Q52" s="143"/>
      <c r="R52" s="143"/>
      <c r="S52" s="143"/>
      <c r="T52" s="143"/>
    </row>
    <row r="53" spans="1:20" x14ac:dyDescent="0.2">
      <c r="A53" s="143"/>
      <c r="B53" s="36">
        <v>151</v>
      </c>
      <c r="C53" s="33" t="s">
        <v>128</v>
      </c>
      <c r="D53" s="143"/>
      <c r="E53" s="143"/>
      <c r="F53" s="96">
        <f>SUMIF('Historical Expenditure-Volumes'!$B$9:$B$22,'Gross Capex'!$B53,'Historical Expenditure-Volumes'!E$9:E$22)/1000+SUMIF('Historical Contributions'!$B$8:$B$20,'Gross Capex'!$B53,'Historical Contributions'!D$8:D$20)/1000</f>
        <v>0</v>
      </c>
      <c r="G53" s="96">
        <f>SUMIF('Historical Expenditure-Volumes'!$B$9:$B$22,'Gross Capex'!$B53,'Historical Expenditure-Volumes'!F$9:F$22)/1000+SUMIF('Historical Contributions'!$B$8:$B$20,'Gross Capex'!$B53,'Historical Contributions'!E$8:E$20)/1000</f>
        <v>0</v>
      </c>
      <c r="H53" s="96">
        <f>SUMIF('Historical Expenditure-Volumes'!$B$9:$B$22,'Gross Capex'!$B53,'Historical Expenditure-Volumes'!G$9:G$22)/1000+SUMIF('Historical Contributions'!$B$8:$B$20,'Gross Capex'!$B53,'Historical Contributions'!F$8:F$20)/1000</f>
        <v>0</v>
      </c>
      <c r="I53" s="185">
        <f>SUMIF('Forecast Expenditure-Volumes'!$B$92:$B$104,'Gross Capex'!$B53,'Forecast Expenditure-Volumes'!G$92:G$104)/1000+SUMIF('Forecast Contributions'!$B$8:$B$20,'Gross Capex'!$B53,'Forecast Contributions'!G$8:G$20)/1000</f>
        <v>0</v>
      </c>
      <c r="J53" s="185">
        <f>SUMIF('Forecast Expenditure-Volumes'!$B$92:$B$104,'Gross Capex'!$B53,'Forecast Expenditure-Volumes'!H$92:H$104)/1000+SUMIF('Forecast Contributions'!$B$8:$B$20,'Gross Capex'!$B53,'Forecast Contributions'!H$8:H$20)/1000</f>
        <v>0</v>
      </c>
      <c r="K53" s="185">
        <f>SUMIF('Forecast Expenditure-Volumes'!$B$92:$B$104,'Gross Capex'!$B53,'Forecast Expenditure-Volumes'!I$92:I$104)/1000+SUMIF('Forecast Contributions'!$B$8:$B$20,'Gross Capex'!$B53,'Forecast Contributions'!I$8:I$20)/1000</f>
        <v>0</v>
      </c>
      <c r="L53" s="185">
        <f>SUMIF('Forecast Expenditure-Volumes'!$B$92:$B$104,'Gross Capex'!$B53,'Forecast Expenditure-Volumes'!J$92:J$104)/1000+SUMIF('Forecast Contributions'!$B$8:$B$20,'Gross Capex'!$B53,'Forecast Contributions'!J$8:J$20)/1000</f>
        <v>0</v>
      </c>
      <c r="M53" s="185">
        <f>SUMIF('Forecast Expenditure-Volumes'!$B$92:$B$104,'Gross Capex'!$B53,'Forecast Expenditure-Volumes'!K$92:K$104)/1000+SUMIF('Forecast Contributions'!$B$8:$B$20,'Gross Capex'!$B53,'Forecast Contributions'!K$8:K$20)/1000</f>
        <v>0</v>
      </c>
      <c r="N53" s="185">
        <f>SUMIF('Forecast Expenditure-Volumes'!$B$92:$B$104,'Gross Capex'!$B53,'Forecast Expenditure-Volumes'!L$92:L$104)/1000+SUMIF('Forecast Contributions'!$B$8:$B$20,'Gross Capex'!$B53,'Forecast Contributions'!L$8:L$20)/1000</f>
        <v>0</v>
      </c>
      <c r="O53" s="185">
        <f>SUMIF('Forecast Expenditure-Volumes'!$B$92:$B$104,'Gross Capex'!$B53,'Forecast Expenditure-Volumes'!M$92:M$104)/1000+SUMIF('Forecast Contributions'!$B$8:$B$20,'Gross Capex'!$B53,'Forecast Contributions'!M$8:M$20)/1000</f>
        <v>0</v>
      </c>
      <c r="P53" s="143"/>
      <c r="Q53" s="143"/>
      <c r="R53" s="143"/>
      <c r="S53" s="143"/>
      <c r="T53" s="143"/>
    </row>
    <row r="54" spans="1:20" x14ac:dyDescent="0.2">
      <c r="A54" s="143"/>
      <c r="B54" s="36">
        <v>152</v>
      </c>
      <c r="C54" s="33" t="s">
        <v>129</v>
      </c>
      <c r="D54" s="143"/>
      <c r="E54" s="143"/>
      <c r="F54" s="96">
        <f>SUMIF('Historical Expenditure-Volumes'!$B$9:$B$22,'Gross Capex'!$B54,'Historical Expenditure-Volumes'!E$9:E$22)/1000+SUMIF('Historical Contributions'!$B$8:$B$20,'Gross Capex'!$B54,'Historical Contributions'!D$8:D$20)/1000</f>
        <v>0</v>
      </c>
      <c r="G54" s="96">
        <f>SUMIF('Historical Expenditure-Volumes'!$B$9:$B$22,'Gross Capex'!$B54,'Historical Expenditure-Volumes'!F$9:F$22)/1000+SUMIF('Historical Contributions'!$B$8:$B$20,'Gross Capex'!$B54,'Historical Contributions'!E$8:E$20)/1000</f>
        <v>0</v>
      </c>
      <c r="H54" s="96">
        <f>SUMIF('Historical Expenditure-Volumes'!$B$9:$B$22,'Gross Capex'!$B54,'Historical Expenditure-Volumes'!G$9:G$22)/1000+SUMIF('Historical Contributions'!$B$8:$B$20,'Gross Capex'!$B54,'Historical Contributions'!F$8:F$20)/1000</f>
        <v>0</v>
      </c>
      <c r="I54" s="185">
        <f>SUMIF('Forecast Expenditure-Volumes'!$B$92:$B$104,'Gross Capex'!$B54,'Forecast Expenditure-Volumes'!G$92:G$104)/1000+SUMIF('Forecast Contributions'!$B$8:$B$20,'Gross Capex'!$B54,'Forecast Contributions'!G$8:G$20)/1000</f>
        <v>0</v>
      </c>
      <c r="J54" s="185">
        <f>SUMIF('Forecast Expenditure-Volumes'!$B$92:$B$104,'Gross Capex'!$B54,'Forecast Expenditure-Volumes'!H$92:H$104)/1000+SUMIF('Forecast Contributions'!$B$8:$B$20,'Gross Capex'!$B54,'Forecast Contributions'!H$8:H$20)/1000</f>
        <v>0</v>
      </c>
      <c r="K54" s="185">
        <f>SUMIF('Forecast Expenditure-Volumes'!$B$92:$B$104,'Gross Capex'!$B54,'Forecast Expenditure-Volumes'!I$92:I$104)/1000+SUMIF('Forecast Contributions'!$B$8:$B$20,'Gross Capex'!$B54,'Forecast Contributions'!I$8:I$20)/1000</f>
        <v>0</v>
      </c>
      <c r="L54" s="185">
        <f>SUMIF('Forecast Expenditure-Volumes'!$B$92:$B$104,'Gross Capex'!$B54,'Forecast Expenditure-Volumes'!J$92:J$104)/1000+SUMIF('Forecast Contributions'!$B$8:$B$20,'Gross Capex'!$B54,'Forecast Contributions'!J$8:J$20)/1000</f>
        <v>0</v>
      </c>
      <c r="M54" s="185">
        <f>SUMIF('Forecast Expenditure-Volumes'!$B$92:$B$104,'Gross Capex'!$B54,'Forecast Expenditure-Volumes'!K$92:K$104)/1000+SUMIF('Forecast Contributions'!$B$8:$B$20,'Gross Capex'!$B54,'Forecast Contributions'!K$8:K$20)/1000</f>
        <v>0</v>
      </c>
      <c r="N54" s="185">
        <f>SUMIF('Forecast Expenditure-Volumes'!$B$92:$B$104,'Gross Capex'!$B54,'Forecast Expenditure-Volumes'!L$92:L$104)/1000+SUMIF('Forecast Contributions'!$B$8:$B$20,'Gross Capex'!$B54,'Forecast Contributions'!L$8:L$20)/1000</f>
        <v>0</v>
      </c>
      <c r="O54" s="185">
        <f>SUMIF('Forecast Expenditure-Volumes'!$B$92:$B$104,'Gross Capex'!$B54,'Forecast Expenditure-Volumes'!M$92:M$104)/1000+SUMIF('Forecast Contributions'!$B$8:$B$20,'Gross Capex'!$B54,'Forecast Contributions'!M$8:M$20)/1000</f>
        <v>0</v>
      </c>
      <c r="P54" s="143"/>
      <c r="Q54" s="143"/>
      <c r="R54" s="143"/>
      <c r="S54" s="143"/>
      <c r="T54" s="143"/>
    </row>
    <row r="55" spans="1:20" x14ac:dyDescent="0.2">
      <c r="A55" s="143"/>
      <c r="B55" s="36">
        <v>153</v>
      </c>
      <c r="C55" s="33" t="s">
        <v>130</v>
      </c>
      <c r="D55" s="143"/>
      <c r="E55" s="143"/>
      <c r="F55" s="96">
        <f>SUMIF('Historical Expenditure-Volumes'!$B$9:$B$22,'Gross Capex'!$B55,'Historical Expenditure-Volumes'!E$9:E$22)/1000+SUMIF('Historical Contributions'!$B$8:$B$20,'Gross Capex'!$B55,'Historical Contributions'!D$8:D$20)/1000</f>
        <v>0</v>
      </c>
      <c r="G55" s="96">
        <f>SUMIF('Historical Expenditure-Volumes'!$B$9:$B$22,'Gross Capex'!$B55,'Historical Expenditure-Volumes'!F$9:F$22)/1000+SUMIF('Historical Contributions'!$B$8:$B$20,'Gross Capex'!$B55,'Historical Contributions'!E$8:E$20)/1000</f>
        <v>0</v>
      </c>
      <c r="H55" s="96">
        <f>SUMIF('Historical Expenditure-Volumes'!$B$9:$B$22,'Gross Capex'!$B55,'Historical Expenditure-Volumes'!G$9:G$22)/1000+SUMIF('Historical Contributions'!$B$8:$B$20,'Gross Capex'!$B55,'Historical Contributions'!F$8:F$20)/1000</f>
        <v>0</v>
      </c>
      <c r="I55" s="185">
        <f>SUMIF('Forecast Expenditure-Volumes'!$B$92:$B$104,'Gross Capex'!$B55,'Forecast Expenditure-Volumes'!G$92:G$104)/1000+SUMIF('Forecast Contributions'!$B$8:$B$20,'Gross Capex'!$B55,'Forecast Contributions'!G$8:G$20)/1000</f>
        <v>0</v>
      </c>
      <c r="J55" s="185">
        <f>SUMIF('Forecast Expenditure-Volumes'!$B$92:$B$104,'Gross Capex'!$B55,'Forecast Expenditure-Volumes'!H$92:H$104)/1000+SUMIF('Forecast Contributions'!$B$8:$B$20,'Gross Capex'!$B55,'Forecast Contributions'!H$8:H$20)/1000</f>
        <v>0</v>
      </c>
      <c r="K55" s="185">
        <f>SUMIF('Forecast Expenditure-Volumes'!$B$92:$B$104,'Gross Capex'!$B55,'Forecast Expenditure-Volumes'!I$92:I$104)/1000+SUMIF('Forecast Contributions'!$B$8:$B$20,'Gross Capex'!$B55,'Forecast Contributions'!I$8:I$20)/1000</f>
        <v>0</v>
      </c>
      <c r="L55" s="185">
        <f>SUMIF('Forecast Expenditure-Volumes'!$B$92:$B$104,'Gross Capex'!$B55,'Forecast Expenditure-Volumes'!J$92:J$104)/1000+SUMIF('Forecast Contributions'!$B$8:$B$20,'Gross Capex'!$B55,'Forecast Contributions'!J$8:J$20)/1000</f>
        <v>0</v>
      </c>
      <c r="M55" s="185">
        <f>SUMIF('Forecast Expenditure-Volumes'!$B$92:$B$104,'Gross Capex'!$B55,'Forecast Expenditure-Volumes'!K$92:K$104)/1000+SUMIF('Forecast Contributions'!$B$8:$B$20,'Gross Capex'!$B55,'Forecast Contributions'!K$8:K$20)/1000</f>
        <v>0</v>
      </c>
      <c r="N55" s="185">
        <f>SUMIF('Forecast Expenditure-Volumes'!$B$92:$B$104,'Gross Capex'!$B55,'Forecast Expenditure-Volumes'!L$92:L$104)/1000+SUMIF('Forecast Contributions'!$B$8:$B$20,'Gross Capex'!$B55,'Forecast Contributions'!L$8:L$20)/1000</f>
        <v>0</v>
      </c>
      <c r="O55" s="185">
        <f>SUMIF('Forecast Expenditure-Volumes'!$B$92:$B$104,'Gross Capex'!$B55,'Forecast Expenditure-Volumes'!M$92:M$104)/1000+SUMIF('Forecast Contributions'!$B$8:$B$20,'Gross Capex'!$B55,'Forecast Contributions'!M$8:M$20)/1000</f>
        <v>0</v>
      </c>
      <c r="P55" s="143"/>
      <c r="Q55" s="143"/>
      <c r="R55" s="143"/>
      <c r="S55" s="143"/>
      <c r="T55" s="143"/>
    </row>
    <row r="56" spans="1:20" x14ac:dyDescent="0.2">
      <c r="A56" s="143"/>
      <c r="B56" s="36">
        <v>154</v>
      </c>
      <c r="C56" s="33" t="s">
        <v>131</v>
      </c>
      <c r="D56" s="143"/>
      <c r="E56" s="143"/>
      <c r="F56" s="96">
        <f>SUMIF('Historical Expenditure-Volumes'!$B$9:$B$22,'Gross Capex'!$B56,'Historical Expenditure-Volumes'!E$9:E$22)/1000+SUMIF('Historical Contributions'!$B$8:$B$20,'Gross Capex'!$B56,'Historical Contributions'!D$8:D$20)/1000</f>
        <v>0</v>
      </c>
      <c r="G56" s="96">
        <f>SUMIF('Historical Expenditure-Volumes'!$B$9:$B$22,'Gross Capex'!$B56,'Historical Expenditure-Volumes'!F$9:F$22)/1000+SUMIF('Historical Contributions'!$B$8:$B$20,'Gross Capex'!$B56,'Historical Contributions'!E$8:E$20)/1000</f>
        <v>0</v>
      </c>
      <c r="H56" s="96">
        <f>SUMIF('Historical Expenditure-Volumes'!$B$9:$B$22,'Gross Capex'!$B56,'Historical Expenditure-Volumes'!G$9:G$22)/1000+SUMIF('Historical Contributions'!$B$8:$B$20,'Gross Capex'!$B56,'Historical Contributions'!F$8:F$20)/1000</f>
        <v>0</v>
      </c>
      <c r="I56" s="185">
        <f>SUMIF('Forecast Expenditure-Volumes'!$B$92:$B$104,'Gross Capex'!$B56,'Forecast Expenditure-Volumes'!G$92:G$104)/1000+SUMIF('Forecast Contributions'!$B$8:$B$20,'Gross Capex'!$B56,'Forecast Contributions'!G$8:G$20)/1000</f>
        <v>0</v>
      </c>
      <c r="J56" s="185">
        <f>SUMIF('Forecast Expenditure-Volumes'!$B$92:$B$104,'Gross Capex'!$B56,'Forecast Expenditure-Volumes'!H$92:H$104)/1000+SUMIF('Forecast Contributions'!$B$8:$B$20,'Gross Capex'!$B56,'Forecast Contributions'!H$8:H$20)/1000</f>
        <v>0</v>
      </c>
      <c r="K56" s="185">
        <f>SUMIF('Forecast Expenditure-Volumes'!$B$92:$B$104,'Gross Capex'!$B56,'Forecast Expenditure-Volumes'!I$92:I$104)/1000+SUMIF('Forecast Contributions'!$B$8:$B$20,'Gross Capex'!$B56,'Forecast Contributions'!I$8:I$20)/1000</f>
        <v>0</v>
      </c>
      <c r="L56" s="185">
        <f>SUMIF('Forecast Expenditure-Volumes'!$B$92:$B$104,'Gross Capex'!$B56,'Forecast Expenditure-Volumes'!J$92:J$104)/1000+SUMIF('Forecast Contributions'!$B$8:$B$20,'Gross Capex'!$B56,'Forecast Contributions'!J$8:J$20)/1000</f>
        <v>0</v>
      </c>
      <c r="M56" s="185">
        <f>SUMIF('Forecast Expenditure-Volumes'!$B$92:$B$104,'Gross Capex'!$B56,'Forecast Expenditure-Volumes'!K$92:K$104)/1000+SUMIF('Forecast Contributions'!$B$8:$B$20,'Gross Capex'!$B56,'Forecast Contributions'!K$8:K$20)/1000</f>
        <v>0</v>
      </c>
      <c r="N56" s="185">
        <f>SUMIF('Forecast Expenditure-Volumes'!$B$92:$B$104,'Gross Capex'!$B56,'Forecast Expenditure-Volumes'!L$92:L$104)/1000+SUMIF('Forecast Contributions'!$B$8:$B$20,'Gross Capex'!$B56,'Forecast Contributions'!L$8:L$20)/1000</f>
        <v>0</v>
      </c>
      <c r="O56" s="185">
        <f>SUMIF('Forecast Expenditure-Volumes'!$B$92:$B$104,'Gross Capex'!$B56,'Forecast Expenditure-Volumes'!M$92:M$104)/1000+SUMIF('Forecast Contributions'!$B$8:$B$20,'Gross Capex'!$B56,'Forecast Contributions'!M$8:M$20)/1000</f>
        <v>0</v>
      </c>
      <c r="P56" s="143"/>
      <c r="Q56" s="143"/>
      <c r="R56" s="143"/>
      <c r="S56" s="143"/>
      <c r="T56" s="143"/>
    </row>
    <row r="57" spans="1:20" x14ac:dyDescent="0.2">
      <c r="A57" s="143"/>
      <c r="B57" s="36">
        <v>155</v>
      </c>
      <c r="C57" s="33" t="s">
        <v>132</v>
      </c>
      <c r="D57" s="143"/>
      <c r="E57" s="143"/>
      <c r="F57" s="96">
        <f>SUMIF('Historical Expenditure-Volumes'!$B$9:$B$22,'Gross Capex'!$B57,'Historical Expenditure-Volumes'!E$9:E$22)/1000+SUMIF('Historical Contributions'!$B$8:$B$20,'Gross Capex'!$B57,'Historical Contributions'!D$8:D$20)/1000</f>
        <v>0</v>
      </c>
      <c r="G57" s="96">
        <f>SUMIF('Historical Expenditure-Volumes'!$B$9:$B$22,'Gross Capex'!$B57,'Historical Expenditure-Volumes'!F$9:F$22)/1000+SUMIF('Historical Contributions'!$B$8:$B$20,'Gross Capex'!$B57,'Historical Contributions'!E$8:E$20)/1000</f>
        <v>0</v>
      </c>
      <c r="H57" s="96">
        <f>SUMIF('Historical Expenditure-Volumes'!$B$9:$B$22,'Gross Capex'!$B57,'Historical Expenditure-Volumes'!G$9:G$22)/1000+SUMIF('Historical Contributions'!$B$8:$B$20,'Gross Capex'!$B57,'Historical Contributions'!F$8:F$20)/1000</f>
        <v>0</v>
      </c>
      <c r="I57" s="185">
        <f>SUMIF('Forecast Expenditure-Volumes'!$B$92:$B$104,'Gross Capex'!$B57,'Forecast Expenditure-Volumes'!G$92:G$104)/1000+SUMIF('Forecast Contributions'!$B$8:$B$20,'Gross Capex'!$B57,'Forecast Contributions'!G$8:G$20)/1000</f>
        <v>0</v>
      </c>
      <c r="J57" s="185">
        <f>SUMIF('Forecast Expenditure-Volumes'!$B$92:$B$104,'Gross Capex'!$B57,'Forecast Expenditure-Volumes'!H$92:H$104)/1000+SUMIF('Forecast Contributions'!$B$8:$B$20,'Gross Capex'!$B57,'Forecast Contributions'!H$8:H$20)/1000</f>
        <v>0</v>
      </c>
      <c r="K57" s="185">
        <f>SUMIF('Forecast Expenditure-Volumes'!$B$92:$B$104,'Gross Capex'!$B57,'Forecast Expenditure-Volumes'!I$92:I$104)/1000+SUMIF('Forecast Contributions'!$B$8:$B$20,'Gross Capex'!$B57,'Forecast Contributions'!I$8:I$20)/1000</f>
        <v>0</v>
      </c>
      <c r="L57" s="185">
        <f>SUMIF('Forecast Expenditure-Volumes'!$B$92:$B$104,'Gross Capex'!$B57,'Forecast Expenditure-Volumes'!J$92:J$104)/1000+SUMIF('Forecast Contributions'!$B$8:$B$20,'Gross Capex'!$B57,'Forecast Contributions'!J$8:J$20)/1000</f>
        <v>0</v>
      </c>
      <c r="M57" s="185">
        <f>SUMIF('Forecast Expenditure-Volumes'!$B$92:$B$104,'Gross Capex'!$B57,'Forecast Expenditure-Volumes'!K$92:K$104)/1000+SUMIF('Forecast Contributions'!$B$8:$B$20,'Gross Capex'!$B57,'Forecast Contributions'!K$8:K$20)/1000</f>
        <v>0</v>
      </c>
      <c r="N57" s="185">
        <f>SUMIF('Forecast Expenditure-Volumes'!$B$92:$B$104,'Gross Capex'!$B57,'Forecast Expenditure-Volumes'!L$92:L$104)/1000+SUMIF('Forecast Contributions'!$B$8:$B$20,'Gross Capex'!$B57,'Forecast Contributions'!L$8:L$20)/1000</f>
        <v>0</v>
      </c>
      <c r="O57" s="185">
        <f>SUMIF('Forecast Expenditure-Volumes'!$B$92:$B$104,'Gross Capex'!$B57,'Forecast Expenditure-Volumes'!M$92:M$104)/1000+SUMIF('Forecast Contributions'!$B$8:$B$20,'Gross Capex'!$B57,'Forecast Contributions'!M$8:M$20)/1000</f>
        <v>0</v>
      </c>
      <c r="P57" s="143"/>
      <c r="Q57" s="143"/>
      <c r="R57" s="143"/>
      <c r="S57" s="143"/>
      <c r="T57" s="143"/>
    </row>
    <row r="58" spans="1:20" x14ac:dyDescent="0.2">
      <c r="A58" s="143"/>
      <c r="B58" s="36">
        <v>156</v>
      </c>
      <c r="C58" s="33" t="s">
        <v>133</v>
      </c>
      <c r="D58" s="143"/>
      <c r="E58" s="143"/>
      <c r="F58" s="96">
        <f>SUMIF('Historical Expenditure-Volumes'!$B$9:$B$22,'Gross Capex'!$B58,'Historical Expenditure-Volumes'!E$9:E$22)/1000+SUMIF('Historical Contributions'!$B$8:$B$20,'Gross Capex'!$B58,'Historical Contributions'!D$8:D$20)/1000</f>
        <v>0</v>
      </c>
      <c r="G58" s="96">
        <f>SUMIF('Historical Expenditure-Volumes'!$B$9:$B$22,'Gross Capex'!$B58,'Historical Expenditure-Volumes'!F$9:F$22)/1000+SUMIF('Historical Contributions'!$B$8:$B$20,'Gross Capex'!$B58,'Historical Contributions'!E$8:E$20)/1000</f>
        <v>0</v>
      </c>
      <c r="H58" s="96">
        <f>SUMIF('Historical Expenditure-Volumes'!$B$9:$B$22,'Gross Capex'!$B58,'Historical Expenditure-Volumes'!G$9:G$22)/1000+SUMIF('Historical Contributions'!$B$8:$B$20,'Gross Capex'!$B58,'Historical Contributions'!F$8:F$20)/1000</f>
        <v>0</v>
      </c>
      <c r="I58" s="185">
        <f>SUMIF('Forecast Expenditure-Volumes'!$B$92:$B$104,'Gross Capex'!$B58,'Forecast Expenditure-Volumes'!G$92:G$104)/1000+SUMIF('Forecast Contributions'!$B$8:$B$20,'Gross Capex'!$B58,'Forecast Contributions'!G$8:G$20)/1000</f>
        <v>0</v>
      </c>
      <c r="J58" s="185">
        <f>SUMIF('Forecast Expenditure-Volumes'!$B$92:$B$104,'Gross Capex'!$B58,'Forecast Expenditure-Volumes'!H$92:H$104)/1000+SUMIF('Forecast Contributions'!$B$8:$B$20,'Gross Capex'!$B58,'Forecast Contributions'!H$8:H$20)/1000</f>
        <v>0</v>
      </c>
      <c r="K58" s="185">
        <f>SUMIF('Forecast Expenditure-Volumes'!$B$92:$B$104,'Gross Capex'!$B58,'Forecast Expenditure-Volumes'!I$92:I$104)/1000+SUMIF('Forecast Contributions'!$B$8:$B$20,'Gross Capex'!$B58,'Forecast Contributions'!I$8:I$20)/1000</f>
        <v>0</v>
      </c>
      <c r="L58" s="185">
        <f>SUMIF('Forecast Expenditure-Volumes'!$B$92:$B$104,'Gross Capex'!$B58,'Forecast Expenditure-Volumes'!J$92:J$104)/1000+SUMIF('Forecast Contributions'!$B$8:$B$20,'Gross Capex'!$B58,'Forecast Contributions'!J$8:J$20)/1000</f>
        <v>0</v>
      </c>
      <c r="M58" s="185">
        <f>SUMIF('Forecast Expenditure-Volumes'!$B$92:$B$104,'Gross Capex'!$B58,'Forecast Expenditure-Volumes'!K$92:K$104)/1000+SUMIF('Forecast Contributions'!$B$8:$B$20,'Gross Capex'!$B58,'Forecast Contributions'!K$8:K$20)/1000</f>
        <v>0</v>
      </c>
      <c r="N58" s="185">
        <f>SUMIF('Forecast Expenditure-Volumes'!$B$92:$B$104,'Gross Capex'!$B58,'Forecast Expenditure-Volumes'!L$92:L$104)/1000+SUMIF('Forecast Contributions'!$B$8:$B$20,'Gross Capex'!$B58,'Forecast Contributions'!L$8:L$20)/1000</f>
        <v>0</v>
      </c>
      <c r="O58" s="185">
        <f>SUMIF('Forecast Expenditure-Volumes'!$B$92:$B$104,'Gross Capex'!$B58,'Forecast Expenditure-Volumes'!M$92:M$104)/1000+SUMIF('Forecast Contributions'!$B$8:$B$20,'Gross Capex'!$B58,'Forecast Contributions'!M$8:M$20)/1000</f>
        <v>0</v>
      </c>
      <c r="P58" s="143"/>
      <c r="Q58" s="143"/>
      <c r="R58" s="143"/>
      <c r="S58" s="143"/>
      <c r="T58" s="143"/>
    </row>
    <row r="59" spans="1:20" x14ac:dyDescent="0.2">
      <c r="A59" s="143"/>
      <c r="B59" s="36">
        <v>157</v>
      </c>
      <c r="C59" s="33" t="s">
        <v>134</v>
      </c>
      <c r="D59" s="143"/>
      <c r="E59" s="143"/>
      <c r="F59" s="96">
        <f>SUMIF('Historical Expenditure-Volumes'!$B$9:$B$22,'Gross Capex'!$B59,'Historical Expenditure-Volumes'!E$9:E$22)/1000+SUMIF('Historical Contributions'!$B$8:$B$20,'Gross Capex'!$B59,'Historical Contributions'!D$8:D$20)/1000</f>
        <v>0</v>
      </c>
      <c r="G59" s="96">
        <f>SUMIF('Historical Expenditure-Volumes'!$B$9:$B$22,'Gross Capex'!$B59,'Historical Expenditure-Volumes'!F$9:F$22)/1000+SUMIF('Historical Contributions'!$B$8:$B$20,'Gross Capex'!$B59,'Historical Contributions'!E$8:E$20)/1000</f>
        <v>0</v>
      </c>
      <c r="H59" s="96">
        <f>SUMIF('Historical Expenditure-Volumes'!$B$9:$B$22,'Gross Capex'!$B59,'Historical Expenditure-Volumes'!G$9:G$22)/1000+SUMIF('Historical Contributions'!$B$8:$B$20,'Gross Capex'!$B59,'Historical Contributions'!F$8:F$20)/1000</f>
        <v>0</v>
      </c>
      <c r="I59" s="185">
        <f>SUMIF('Forecast Expenditure-Volumes'!$B$92:$B$104,'Gross Capex'!$B59,'Forecast Expenditure-Volumes'!G$92:G$104)/1000+SUMIF('Forecast Contributions'!$B$8:$B$20,'Gross Capex'!$B59,'Forecast Contributions'!G$8:G$20)/1000</f>
        <v>0</v>
      </c>
      <c r="J59" s="185">
        <f>SUMIF('Forecast Expenditure-Volumes'!$B$92:$B$104,'Gross Capex'!$B59,'Forecast Expenditure-Volumes'!H$92:H$104)/1000+SUMIF('Forecast Contributions'!$B$8:$B$20,'Gross Capex'!$B59,'Forecast Contributions'!H$8:H$20)/1000</f>
        <v>0</v>
      </c>
      <c r="K59" s="185">
        <f>SUMIF('Forecast Expenditure-Volumes'!$B$92:$B$104,'Gross Capex'!$B59,'Forecast Expenditure-Volumes'!I$92:I$104)/1000+SUMIF('Forecast Contributions'!$B$8:$B$20,'Gross Capex'!$B59,'Forecast Contributions'!I$8:I$20)/1000</f>
        <v>0</v>
      </c>
      <c r="L59" s="185">
        <f>SUMIF('Forecast Expenditure-Volumes'!$B$92:$B$104,'Gross Capex'!$B59,'Forecast Expenditure-Volumes'!J$92:J$104)/1000+SUMIF('Forecast Contributions'!$B$8:$B$20,'Gross Capex'!$B59,'Forecast Contributions'!J$8:J$20)/1000</f>
        <v>0</v>
      </c>
      <c r="M59" s="185">
        <f>SUMIF('Forecast Expenditure-Volumes'!$B$92:$B$104,'Gross Capex'!$B59,'Forecast Expenditure-Volumes'!K$92:K$104)/1000+SUMIF('Forecast Contributions'!$B$8:$B$20,'Gross Capex'!$B59,'Forecast Contributions'!K$8:K$20)/1000</f>
        <v>0</v>
      </c>
      <c r="N59" s="185">
        <f>SUMIF('Forecast Expenditure-Volumes'!$B$92:$B$104,'Gross Capex'!$B59,'Forecast Expenditure-Volumes'!L$92:L$104)/1000+SUMIF('Forecast Contributions'!$B$8:$B$20,'Gross Capex'!$B59,'Forecast Contributions'!L$8:L$20)/1000</f>
        <v>0</v>
      </c>
      <c r="O59" s="185">
        <f>SUMIF('Forecast Expenditure-Volumes'!$B$92:$B$104,'Gross Capex'!$B59,'Forecast Expenditure-Volumes'!M$92:M$104)/1000+SUMIF('Forecast Contributions'!$B$8:$B$20,'Gross Capex'!$B59,'Forecast Contributions'!M$8:M$20)/1000</f>
        <v>0</v>
      </c>
      <c r="P59" s="143"/>
      <c r="Q59" s="143"/>
      <c r="R59" s="143"/>
      <c r="S59" s="143"/>
      <c r="T59" s="143"/>
    </row>
    <row r="60" spans="1:20" x14ac:dyDescent="0.2">
      <c r="A60" s="143"/>
      <c r="B60" s="36">
        <v>158</v>
      </c>
      <c r="C60" s="33" t="s">
        <v>135</v>
      </c>
      <c r="D60" s="143"/>
      <c r="E60" s="143"/>
      <c r="F60" s="96">
        <f>SUMIF('Historical Expenditure-Volumes'!$B$9:$B$22,'Gross Capex'!$B60,'Historical Expenditure-Volumes'!E$9:E$22)/1000+SUMIF('Historical Contributions'!$B$8:$B$20,'Gross Capex'!$B60,'Historical Contributions'!D$8:D$20)/1000</f>
        <v>0</v>
      </c>
      <c r="G60" s="96">
        <f>SUMIF('Historical Expenditure-Volumes'!$B$9:$B$22,'Gross Capex'!$B60,'Historical Expenditure-Volumes'!F$9:F$22)/1000+SUMIF('Historical Contributions'!$B$8:$B$20,'Gross Capex'!$B60,'Historical Contributions'!E$8:E$20)/1000</f>
        <v>0</v>
      </c>
      <c r="H60" s="96">
        <f>SUMIF('Historical Expenditure-Volumes'!$B$9:$B$22,'Gross Capex'!$B60,'Historical Expenditure-Volumes'!G$9:G$22)/1000+SUMIF('Historical Contributions'!$B$8:$B$20,'Gross Capex'!$B60,'Historical Contributions'!F$8:F$20)/1000</f>
        <v>0</v>
      </c>
      <c r="I60" s="185">
        <f>SUMIF('Forecast Expenditure-Volumes'!$B$92:$B$104,'Gross Capex'!$B60,'Forecast Expenditure-Volumes'!G$92:G$104)/1000+SUMIF('Forecast Contributions'!$B$8:$B$20,'Gross Capex'!$B60,'Forecast Contributions'!G$8:G$20)/1000</f>
        <v>0</v>
      </c>
      <c r="J60" s="185">
        <f>SUMIF('Forecast Expenditure-Volumes'!$B$92:$B$104,'Gross Capex'!$B60,'Forecast Expenditure-Volumes'!H$92:H$104)/1000+SUMIF('Forecast Contributions'!$B$8:$B$20,'Gross Capex'!$B60,'Forecast Contributions'!H$8:H$20)/1000</f>
        <v>0</v>
      </c>
      <c r="K60" s="185">
        <f>SUMIF('Forecast Expenditure-Volumes'!$B$92:$B$104,'Gross Capex'!$B60,'Forecast Expenditure-Volumes'!I$92:I$104)/1000+SUMIF('Forecast Contributions'!$B$8:$B$20,'Gross Capex'!$B60,'Forecast Contributions'!I$8:I$20)/1000</f>
        <v>0</v>
      </c>
      <c r="L60" s="185">
        <f>SUMIF('Forecast Expenditure-Volumes'!$B$92:$B$104,'Gross Capex'!$B60,'Forecast Expenditure-Volumes'!J$92:J$104)/1000+SUMIF('Forecast Contributions'!$B$8:$B$20,'Gross Capex'!$B60,'Forecast Contributions'!J$8:J$20)/1000</f>
        <v>0</v>
      </c>
      <c r="M60" s="185">
        <f>SUMIF('Forecast Expenditure-Volumes'!$B$92:$B$104,'Gross Capex'!$B60,'Forecast Expenditure-Volumes'!K$92:K$104)/1000+SUMIF('Forecast Contributions'!$B$8:$B$20,'Gross Capex'!$B60,'Forecast Contributions'!K$8:K$20)/1000</f>
        <v>0</v>
      </c>
      <c r="N60" s="185">
        <f>SUMIF('Forecast Expenditure-Volumes'!$B$92:$B$104,'Gross Capex'!$B60,'Forecast Expenditure-Volumes'!L$92:L$104)/1000+SUMIF('Forecast Contributions'!$B$8:$B$20,'Gross Capex'!$B60,'Forecast Contributions'!L$8:L$20)/1000</f>
        <v>0</v>
      </c>
      <c r="O60" s="185">
        <f>SUMIF('Forecast Expenditure-Volumes'!$B$92:$B$104,'Gross Capex'!$B60,'Forecast Expenditure-Volumes'!M$92:M$104)/1000+SUMIF('Forecast Contributions'!$B$8:$B$20,'Gross Capex'!$B60,'Forecast Contributions'!M$8:M$20)/1000</f>
        <v>0</v>
      </c>
      <c r="P60" s="143"/>
      <c r="Q60" s="143"/>
      <c r="R60" s="143"/>
      <c r="S60" s="143"/>
      <c r="T60" s="143"/>
    </row>
    <row r="61" spans="1:20" x14ac:dyDescent="0.2">
      <c r="A61" s="143"/>
      <c r="B61" s="36">
        <v>159</v>
      </c>
      <c r="C61" s="33" t="s">
        <v>136</v>
      </c>
      <c r="D61" s="143"/>
      <c r="E61" s="143"/>
      <c r="F61" s="96">
        <f>SUMIF('Historical Expenditure-Volumes'!$B$9:$B$22,'Gross Capex'!$B61,'Historical Expenditure-Volumes'!E$9:E$22)/1000+SUMIF('Historical Contributions'!$B$8:$B$20,'Gross Capex'!$B61,'Historical Contributions'!D$8:D$20)/1000</f>
        <v>0</v>
      </c>
      <c r="G61" s="96">
        <f>SUMIF('Historical Expenditure-Volumes'!$B$9:$B$22,'Gross Capex'!$B61,'Historical Expenditure-Volumes'!F$9:F$22)/1000+SUMIF('Historical Contributions'!$B$8:$B$20,'Gross Capex'!$B61,'Historical Contributions'!E$8:E$20)/1000</f>
        <v>0</v>
      </c>
      <c r="H61" s="96">
        <f>SUMIF('Historical Expenditure-Volumes'!$B$9:$B$22,'Gross Capex'!$B61,'Historical Expenditure-Volumes'!G$9:G$22)/1000+SUMIF('Historical Contributions'!$B$8:$B$20,'Gross Capex'!$B61,'Historical Contributions'!F$8:F$20)/1000</f>
        <v>0</v>
      </c>
      <c r="I61" s="185">
        <f>SUMIF('Forecast Expenditure-Volumes'!$B$92:$B$104,'Gross Capex'!$B61,'Forecast Expenditure-Volumes'!G$92:G$104)/1000+SUMIF('Forecast Contributions'!$B$8:$B$20,'Gross Capex'!$B61,'Forecast Contributions'!G$8:G$20)/1000</f>
        <v>0</v>
      </c>
      <c r="J61" s="185">
        <f>SUMIF('Forecast Expenditure-Volumes'!$B$92:$B$104,'Gross Capex'!$B61,'Forecast Expenditure-Volumes'!H$92:H$104)/1000+SUMIF('Forecast Contributions'!$B$8:$B$20,'Gross Capex'!$B61,'Forecast Contributions'!H$8:H$20)/1000</f>
        <v>0</v>
      </c>
      <c r="K61" s="185">
        <f>SUMIF('Forecast Expenditure-Volumes'!$B$92:$B$104,'Gross Capex'!$B61,'Forecast Expenditure-Volumes'!I$92:I$104)/1000+SUMIF('Forecast Contributions'!$B$8:$B$20,'Gross Capex'!$B61,'Forecast Contributions'!I$8:I$20)/1000</f>
        <v>0</v>
      </c>
      <c r="L61" s="185">
        <f>SUMIF('Forecast Expenditure-Volumes'!$B$92:$B$104,'Gross Capex'!$B61,'Forecast Expenditure-Volumes'!J$92:J$104)/1000+SUMIF('Forecast Contributions'!$B$8:$B$20,'Gross Capex'!$B61,'Forecast Contributions'!J$8:J$20)/1000</f>
        <v>0</v>
      </c>
      <c r="M61" s="185">
        <f>SUMIF('Forecast Expenditure-Volumes'!$B$92:$B$104,'Gross Capex'!$B61,'Forecast Expenditure-Volumes'!K$92:K$104)/1000+SUMIF('Forecast Contributions'!$B$8:$B$20,'Gross Capex'!$B61,'Forecast Contributions'!K$8:K$20)/1000</f>
        <v>0</v>
      </c>
      <c r="N61" s="185">
        <f>SUMIF('Forecast Expenditure-Volumes'!$B$92:$B$104,'Gross Capex'!$B61,'Forecast Expenditure-Volumes'!L$92:L$104)/1000+SUMIF('Forecast Contributions'!$B$8:$B$20,'Gross Capex'!$B61,'Forecast Contributions'!L$8:L$20)/1000</f>
        <v>0</v>
      </c>
      <c r="O61" s="185">
        <f>SUMIF('Forecast Expenditure-Volumes'!$B$92:$B$104,'Gross Capex'!$B61,'Forecast Expenditure-Volumes'!M$92:M$104)/1000+SUMIF('Forecast Contributions'!$B$8:$B$20,'Gross Capex'!$B61,'Forecast Contributions'!M$8:M$20)/1000</f>
        <v>0</v>
      </c>
      <c r="P61" s="143"/>
      <c r="Q61" s="143"/>
      <c r="R61" s="143"/>
      <c r="S61" s="143"/>
      <c r="T61" s="143"/>
    </row>
    <row r="62" spans="1:20" x14ac:dyDescent="0.2">
      <c r="A62" s="143"/>
      <c r="B62" s="36">
        <v>160</v>
      </c>
      <c r="C62" s="33" t="s">
        <v>137</v>
      </c>
      <c r="D62" s="143"/>
      <c r="E62" s="143"/>
      <c r="F62" s="96">
        <f>SUMIF('Historical Expenditure-Volumes'!$B$9:$B$22,'Gross Capex'!$B62,'Historical Expenditure-Volumes'!E$9:E$22)/1000+SUMIF('Historical Contributions'!$B$8:$B$20,'Gross Capex'!$B62,'Historical Contributions'!D$8:D$20)/1000</f>
        <v>0</v>
      </c>
      <c r="G62" s="96">
        <f>SUMIF('Historical Expenditure-Volumes'!$B$9:$B$22,'Gross Capex'!$B62,'Historical Expenditure-Volumes'!F$9:F$22)/1000+SUMIF('Historical Contributions'!$B$8:$B$20,'Gross Capex'!$B62,'Historical Contributions'!E$8:E$20)/1000</f>
        <v>0</v>
      </c>
      <c r="H62" s="96">
        <f>SUMIF('Historical Expenditure-Volumes'!$B$9:$B$22,'Gross Capex'!$B62,'Historical Expenditure-Volumes'!G$9:G$22)/1000+SUMIF('Historical Contributions'!$B$8:$B$20,'Gross Capex'!$B62,'Historical Contributions'!F$8:F$20)/1000</f>
        <v>0</v>
      </c>
      <c r="I62" s="185">
        <f>SUMIF('Forecast Expenditure-Volumes'!$B$92:$B$104,'Gross Capex'!$B62,'Forecast Expenditure-Volumes'!G$92:G$104)/1000+SUMIF('Forecast Contributions'!$B$8:$B$20,'Gross Capex'!$B62,'Forecast Contributions'!G$8:G$20)/1000</f>
        <v>0</v>
      </c>
      <c r="J62" s="185">
        <f>SUMIF('Forecast Expenditure-Volumes'!$B$92:$B$104,'Gross Capex'!$B62,'Forecast Expenditure-Volumes'!H$92:H$104)/1000+SUMIF('Forecast Contributions'!$B$8:$B$20,'Gross Capex'!$B62,'Forecast Contributions'!H$8:H$20)/1000</f>
        <v>0</v>
      </c>
      <c r="K62" s="185">
        <f>SUMIF('Forecast Expenditure-Volumes'!$B$92:$B$104,'Gross Capex'!$B62,'Forecast Expenditure-Volumes'!I$92:I$104)/1000+SUMIF('Forecast Contributions'!$B$8:$B$20,'Gross Capex'!$B62,'Forecast Contributions'!I$8:I$20)/1000</f>
        <v>0</v>
      </c>
      <c r="L62" s="185">
        <f>SUMIF('Forecast Expenditure-Volumes'!$B$92:$B$104,'Gross Capex'!$B62,'Forecast Expenditure-Volumes'!J$92:J$104)/1000+SUMIF('Forecast Contributions'!$B$8:$B$20,'Gross Capex'!$B62,'Forecast Contributions'!J$8:J$20)/1000</f>
        <v>0</v>
      </c>
      <c r="M62" s="185">
        <f>SUMIF('Forecast Expenditure-Volumes'!$B$92:$B$104,'Gross Capex'!$B62,'Forecast Expenditure-Volumes'!K$92:K$104)/1000+SUMIF('Forecast Contributions'!$B$8:$B$20,'Gross Capex'!$B62,'Forecast Contributions'!K$8:K$20)/1000</f>
        <v>0</v>
      </c>
      <c r="N62" s="185">
        <f>SUMIF('Forecast Expenditure-Volumes'!$B$92:$B$104,'Gross Capex'!$B62,'Forecast Expenditure-Volumes'!L$92:L$104)/1000+SUMIF('Forecast Contributions'!$B$8:$B$20,'Gross Capex'!$B62,'Forecast Contributions'!L$8:L$20)/1000</f>
        <v>0</v>
      </c>
      <c r="O62" s="185">
        <f>SUMIF('Forecast Expenditure-Volumes'!$B$92:$B$104,'Gross Capex'!$B62,'Forecast Expenditure-Volumes'!M$92:M$104)/1000+SUMIF('Forecast Contributions'!$B$8:$B$20,'Gross Capex'!$B62,'Forecast Contributions'!M$8:M$20)/1000</f>
        <v>0</v>
      </c>
      <c r="P62" s="143"/>
      <c r="Q62" s="143"/>
      <c r="R62" s="143"/>
      <c r="S62" s="143"/>
      <c r="T62" s="143"/>
    </row>
    <row r="63" spans="1:20" x14ac:dyDescent="0.2">
      <c r="A63" s="143"/>
      <c r="B63" s="36">
        <v>161</v>
      </c>
      <c r="C63" s="33" t="s">
        <v>138</v>
      </c>
      <c r="D63" s="143"/>
      <c r="E63" s="143"/>
      <c r="F63" s="96">
        <f>SUMIF('Historical Expenditure-Volumes'!$B$9:$B$22,'Gross Capex'!$B63,'Historical Expenditure-Volumes'!E$9:E$22)/1000+SUMIF('Historical Contributions'!$B$8:$B$20,'Gross Capex'!$B63,'Historical Contributions'!D$8:D$20)/1000</f>
        <v>0</v>
      </c>
      <c r="G63" s="96">
        <f>SUMIF('Historical Expenditure-Volumes'!$B$9:$B$22,'Gross Capex'!$B63,'Historical Expenditure-Volumes'!F$9:F$22)/1000+SUMIF('Historical Contributions'!$B$8:$B$20,'Gross Capex'!$B63,'Historical Contributions'!E$8:E$20)/1000</f>
        <v>0</v>
      </c>
      <c r="H63" s="96">
        <f>SUMIF('Historical Expenditure-Volumes'!$B$9:$B$22,'Gross Capex'!$B63,'Historical Expenditure-Volumes'!G$9:G$22)/1000+SUMIF('Historical Contributions'!$B$8:$B$20,'Gross Capex'!$B63,'Historical Contributions'!F$8:F$20)/1000</f>
        <v>0</v>
      </c>
      <c r="I63" s="185">
        <f>SUMIF('Forecast Expenditure-Volumes'!$B$92:$B$104,'Gross Capex'!$B63,'Forecast Expenditure-Volumes'!G$92:G$104)/1000+SUMIF('Forecast Contributions'!$B$8:$B$20,'Gross Capex'!$B63,'Forecast Contributions'!G$8:G$20)/1000</f>
        <v>0</v>
      </c>
      <c r="J63" s="185">
        <f>SUMIF('Forecast Expenditure-Volumes'!$B$92:$B$104,'Gross Capex'!$B63,'Forecast Expenditure-Volumes'!H$92:H$104)/1000+SUMIF('Forecast Contributions'!$B$8:$B$20,'Gross Capex'!$B63,'Forecast Contributions'!H$8:H$20)/1000</f>
        <v>0</v>
      </c>
      <c r="K63" s="185">
        <f>SUMIF('Forecast Expenditure-Volumes'!$B$92:$B$104,'Gross Capex'!$B63,'Forecast Expenditure-Volumes'!I$92:I$104)/1000+SUMIF('Forecast Contributions'!$B$8:$B$20,'Gross Capex'!$B63,'Forecast Contributions'!I$8:I$20)/1000</f>
        <v>0</v>
      </c>
      <c r="L63" s="185">
        <f>SUMIF('Forecast Expenditure-Volumes'!$B$92:$B$104,'Gross Capex'!$B63,'Forecast Expenditure-Volumes'!J$92:J$104)/1000+SUMIF('Forecast Contributions'!$B$8:$B$20,'Gross Capex'!$B63,'Forecast Contributions'!J$8:J$20)/1000</f>
        <v>0</v>
      </c>
      <c r="M63" s="185">
        <f>SUMIF('Forecast Expenditure-Volumes'!$B$92:$B$104,'Gross Capex'!$B63,'Forecast Expenditure-Volumes'!K$92:K$104)/1000+SUMIF('Forecast Contributions'!$B$8:$B$20,'Gross Capex'!$B63,'Forecast Contributions'!K$8:K$20)/1000</f>
        <v>0</v>
      </c>
      <c r="N63" s="185">
        <f>SUMIF('Forecast Expenditure-Volumes'!$B$92:$B$104,'Gross Capex'!$B63,'Forecast Expenditure-Volumes'!L$92:L$104)/1000+SUMIF('Forecast Contributions'!$B$8:$B$20,'Gross Capex'!$B63,'Forecast Contributions'!L$8:L$20)/1000</f>
        <v>0</v>
      </c>
      <c r="O63" s="185">
        <f>SUMIF('Forecast Expenditure-Volumes'!$B$92:$B$104,'Gross Capex'!$B63,'Forecast Expenditure-Volumes'!M$92:M$104)/1000+SUMIF('Forecast Contributions'!$B$8:$B$20,'Gross Capex'!$B63,'Forecast Contributions'!M$8:M$20)/1000</f>
        <v>0</v>
      </c>
      <c r="P63" s="143"/>
      <c r="Q63" s="143"/>
      <c r="R63" s="143"/>
      <c r="S63" s="143"/>
      <c r="T63" s="143"/>
    </row>
    <row r="64" spans="1:20" x14ac:dyDescent="0.2">
      <c r="A64" s="143"/>
      <c r="B64" s="36">
        <v>162</v>
      </c>
      <c r="C64" s="33" t="s">
        <v>139</v>
      </c>
      <c r="D64" s="143"/>
      <c r="E64" s="143"/>
      <c r="F64" s="96">
        <f>SUMIF('Historical Expenditure-Volumes'!$B$9:$B$22,'Gross Capex'!$B64,'Historical Expenditure-Volumes'!E$9:E$22)/1000+SUMIF('Historical Contributions'!$B$8:$B$20,'Gross Capex'!$B64,'Historical Contributions'!D$8:D$20)/1000</f>
        <v>0</v>
      </c>
      <c r="G64" s="96">
        <f>SUMIF('Historical Expenditure-Volumes'!$B$9:$B$22,'Gross Capex'!$B64,'Historical Expenditure-Volumes'!F$9:F$22)/1000+SUMIF('Historical Contributions'!$B$8:$B$20,'Gross Capex'!$B64,'Historical Contributions'!E$8:E$20)/1000</f>
        <v>0</v>
      </c>
      <c r="H64" s="96">
        <f>SUMIF('Historical Expenditure-Volumes'!$B$9:$B$22,'Gross Capex'!$B64,'Historical Expenditure-Volumes'!G$9:G$22)/1000+SUMIF('Historical Contributions'!$B$8:$B$20,'Gross Capex'!$B64,'Historical Contributions'!F$8:F$20)/1000</f>
        <v>0</v>
      </c>
      <c r="I64" s="185">
        <f>SUMIF('Forecast Expenditure-Volumes'!$B$92:$B$104,'Gross Capex'!$B64,'Forecast Expenditure-Volumes'!G$92:G$104)/1000+SUMIF('Forecast Contributions'!$B$8:$B$20,'Gross Capex'!$B64,'Forecast Contributions'!G$8:G$20)/1000</f>
        <v>0</v>
      </c>
      <c r="J64" s="185">
        <f>SUMIF('Forecast Expenditure-Volumes'!$B$92:$B$104,'Gross Capex'!$B64,'Forecast Expenditure-Volumes'!H$92:H$104)/1000+SUMIF('Forecast Contributions'!$B$8:$B$20,'Gross Capex'!$B64,'Forecast Contributions'!H$8:H$20)/1000</f>
        <v>0</v>
      </c>
      <c r="K64" s="185">
        <f>SUMIF('Forecast Expenditure-Volumes'!$B$92:$B$104,'Gross Capex'!$B64,'Forecast Expenditure-Volumes'!I$92:I$104)/1000+SUMIF('Forecast Contributions'!$B$8:$B$20,'Gross Capex'!$B64,'Forecast Contributions'!I$8:I$20)/1000</f>
        <v>0</v>
      </c>
      <c r="L64" s="185">
        <f>SUMIF('Forecast Expenditure-Volumes'!$B$92:$B$104,'Gross Capex'!$B64,'Forecast Expenditure-Volumes'!J$92:J$104)/1000+SUMIF('Forecast Contributions'!$B$8:$B$20,'Gross Capex'!$B64,'Forecast Contributions'!J$8:J$20)/1000</f>
        <v>0</v>
      </c>
      <c r="M64" s="185">
        <f>SUMIF('Forecast Expenditure-Volumes'!$B$92:$B$104,'Gross Capex'!$B64,'Forecast Expenditure-Volumes'!K$92:K$104)/1000+SUMIF('Forecast Contributions'!$B$8:$B$20,'Gross Capex'!$B64,'Forecast Contributions'!K$8:K$20)/1000</f>
        <v>0</v>
      </c>
      <c r="N64" s="185">
        <f>SUMIF('Forecast Expenditure-Volumes'!$B$92:$B$104,'Gross Capex'!$B64,'Forecast Expenditure-Volumes'!L$92:L$104)/1000+SUMIF('Forecast Contributions'!$B$8:$B$20,'Gross Capex'!$B64,'Forecast Contributions'!L$8:L$20)/1000</f>
        <v>0</v>
      </c>
      <c r="O64" s="185">
        <f>SUMIF('Forecast Expenditure-Volumes'!$B$92:$B$104,'Gross Capex'!$B64,'Forecast Expenditure-Volumes'!M$92:M$104)/1000+SUMIF('Forecast Contributions'!$B$8:$B$20,'Gross Capex'!$B64,'Forecast Contributions'!M$8:M$20)/1000</f>
        <v>0</v>
      </c>
      <c r="P64" s="143"/>
      <c r="Q64" s="143"/>
      <c r="R64" s="143"/>
      <c r="S64" s="143"/>
      <c r="T64" s="143"/>
    </row>
    <row r="65" spans="1:20" x14ac:dyDescent="0.2">
      <c r="A65" s="143"/>
      <c r="B65" s="36">
        <v>163</v>
      </c>
      <c r="C65" s="33" t="s">
        <v>140</v>
      </c>
      <c r="D65" s="143"/>
      <c r="E65" s="143"/>
      <c r="F65" s="96">
        <f>SUMIF('Historical Expenditure-Volumes'!$B$9:$B$22,'Gross Capex'!$B65,'Historical Expenditure-Volumes'!E$9:E$22)/1000+SUMIF('Historical Contributions'!$B$8:$B$20,'Gross Capex'!$B65,'Historical Contributions'!D$8:D$20)/1000</f>
        <v>0</v>
      </c>
      <c r="G65" s="96">
        <f>SUMIF('Historical Expenditure-Volumes'!$B$9:$B$22,'Gross Capex'!$B65,'Historical Expenditure-Volumes'!F$9:F$22)/1000+SUMIF('Historical Contributions'!$B$8:$B$20,'Gross Capex'!$B65,'Historical Contributions'!E$8:E$20)/1000</f>
        <v>0</v>
      </c>
      <c r="H65" s="96">
        <f>SUMIF('Historical Expenditure-Volumes'!$B$9:$B$22,'Gross Capex'!$B65,'Historical Expenditure-Volumes'!G$9:G$22)/1000+SUMIF('Historical Contributions'!$B$8:$B$20,'Gross Capex'!$B65,'Historical Contributions'!F$8:F$20)/1000</f>
        <v>0</v>
      </c>
      <c r="I65" s="185">
        <f>SUMIF('Forecast Expenditure-Volumes'!$B$92:$B$104,'Gross Capex'!$B65,'Forecast Expenditure-Volumes'!G$92:G$104)/1000+SUMIF('Forecast Contributions'!$B$8:$B$20,'Gross Capex'!$B65,'Forecast Contributions'!G$8:G$20)/1000</f>
        <v>0</v>
      </c>
      <c r="J65" s="185">
        <f>SUMIF('Forecast Expenditure-Volumes'!$B$92:$B$104,'Gross Capex'!$B65,'Forecast Expenditure-Volumes'!H$92:H$104)/1000+SUMIF('Forecast Contributions'!$B$8:$B$20,'Gross Capex'!$B65,'Forecast Contributions'!H$8:H$20)/1000</f>
        <v>0</v>
      </c>
      <c r="K65" s="185">
        <f>SUMIF('Forecast Expenditure-Volumes'!$B$92:$B$104,'Gross Capex'!$B65,'Forecast Expenditure-Volumes'!I$92:I$104)/1000+SUMIF('Forecast Contributions'!$B$8:$B$20,'Gross Capex'!$B65,'Forecast Contributions'!I$8:I$20)/1000</f>
        <v>0</v>
      </c>
      <c r="L65" s="185">
        <f>SUMIF('Forecast Expenditure-Volumes'!$B$92:$B$104,'Gross Capex'!$B65,'Forecast Expenditure-Volumes'!J$92:J$104)/1000+SUMIF('Forecast Contributions'!$B$8:$B$20,'Gross Capex'!$B65,'Forecast Contributions'!J$8:J$20)/1000</f>
        <v>0</v>
      </c>
      <c r="M65" s="185">
        <f>SUMIF('Forecast Expenditure-Volumes'!$B$92:$B$104,'Gross Capex'!$B65,'Forecast Expenditure-Volumes'!K$92:K$104)/1000+SUMIF('Forecast Contributions'!$B$8:$B$20,'Gross Capex'!$B65,'Forecast Contributions'!K$8:K$20)/1000</f>
        <v>0</v>
      </c>
      <c r="N65" s="185">
        <f>SUMIF('Forecast Expenditure-Volumes'!$B$92:$B$104,'Gross Capex'!$B65,'Forecast Expenditure-Volumes'!L$92:L$104)/1000+SUMIF('Forecast Contributions'!$B$8:$B$20,'Gross Capex'!$B65,'Forecast Contributions'!L$8:L$20)/1000</f>
        <v>0</v>
      </c>
      <c r="O65" s="185">
        <f>SUMIF('Forecast Expenditure-Volumes'!$B$92:$B$104,'Gross Capex'!$B65,'Forecast Expenditure-Volumes'!M$92:M$104)/1000+SUMIF('Forecast Contributions'!$B$8:$B$20,'Gross Capex'!$B65,'Forecast Contributions'!M$8:M$20)/1000</f>
        <v>0</v>
      </c>
      <c r="P65" s="143"/>
      <c r="Q65" s="143"/>
      <c r="R65" s="143"/>
      <c r="S65" s="143"/>
      <c r="T65" s="143"/>
    </row>
    <row r="66" spans="1:20" x14ac:dyDescent="0.2">
      <c r="A66" s="143"/>
      <c r="B66" s="36">
        <v>164</v>
      </c>
      <c r="C66" s="33" t="s">
        <v>141</v>
      </c>
      <c r="D66" s="143"/>
      <c r="E66" s="143"/>
      <c r="F66" s="96">
        <f>SUMIF('Historical Expenditure-Volumes'!$B$9:$B$22,'Gross Capex'!$B66,'Historical Expenditure-Volumes'!E$9:E$22)/1000+SUMIF('Historical Contributions'!$B$8:$B$20,'Gross Capex'!$B66,'Historical Contributions'!D$8:D$20)/1000</f>
        <v>0</v>
      </c>
      <c r="G66" s="96">
        <f>SUMIF('Historical Expenditure-Volumes'!$B$9:$B$22,'Gross Capex'!$B66,'Historical Expenditure-Volumes'!F$9:F$22)/1000+SUMIF('Historical Contributions'!$B$8:$B$20,'Gross Capex'!$B66,'Historical Contributions'!E$8:E$20)/1000</f>
        <v>0</v>
      </c>
      <c r="H66" s="96">
        <f>SUMIF('Historical Expenditure-Volumes'!$B$9:$B$22,'Gross Capex'!$B66,'Historical Expenditure-Volumes'!G$9:G$22)/1000+SUMIF('Historical Contributions'!$B$8:$B$20,'Gross Capex'!$B66,'Historical Contributions'!F$8:F$20)/1000</f>
        <v>0</v>
      </c>
      <c r="I66" s="185">
        <f>SUMIF('Forecast Expenditure-Volumes'!$B$92:$B$104,'Gross Capex'!$B66,'Forecast Expenditure-Volumes'!G$92:G$104)/1000+SUMIF('Forecast Contributions'!$B$8:$B$20,'Gross Capex'!$B66,'Forecast Contributions'!G$8:G$20)/1000</f>
        <v>0</v>
      </c>
      <c r="J66" s="185">
        <f>SUMIF('Forecast Expenditure-Volumes'!$B$92:$B$104,'Gross Capex'!$B66,'Forecast Expenditure-Volumes'!H$92:H$104)/1000+SUMIF('Forecast Contributions'!$B$8:$B$20,'Gross Capex'!$B66,'Forecast Contributions'!H$8:H$20)/1000</f>
        <v>0</v>
      </c>
      <c r="K66" s="185">
        <f>SUMIF('Forecast Expenditure-Volumes'!$B$92:$B$104,'Gross Capex'!$B66,'Forecast Expenditure-Volumes'!I$92:I$104)/1000+SUMIF('Forecast Contributions'!$B$8:$B$20,'Gross Capex'!$B66,'Forecast Contributions'!I$8:I$20)/1000</f>
        <v>0</v>
      </c>
      <c r="L66" s="185">
        <f>SUMIF('Forecast Expenditure-Volumes'!$B$92:$B$104,'Gross Capex'!$B66,'Forecast Expenditure-Volumes'!J$92:J$104)/1000+SUMIF('Forecast Contributions'!$B$8:$B$20,'Gross Capex'!$B66,'Forecast Contributions'!J$8:J$20)/1000</f>
        <v>0</v>
      </c>
      <c r="M66" s="185">
        <f>SUMIF('Forecast Expenditure-Volumes'!$B$92:$B$104,'Gross Capex'!$B66,'Forecast Expenditure-Volumes'!K$92:K$104)/1000+SUMIF('Forecast Contributions'!$B$8:$B$20,'Gross Capex'!$B66,'Forecast Contributions'!K$8:K$20)/1000</f>
        <v>0</v>
      </c>
      <c r="N66" s="185">
        <f>SUMIF('Forecast Expenditure-Volumes'!$B$92:$B$104,'Gross Capex'!$B66,'Forecast Expenditure-Volumes'!L$92:L$104)/1000+SUMIF('Forecast Contributions'!$B$8:$B$20,'Gross Capex'!$B66,'Forecast Contributions'!L$8:L$20)/1000</f>
        <v>0</v>
      </c>
      <c r="O66" s="185">
        <f>SUMIF('Forecast Expenditure-Volumes'!$B$92:$B$104,'Gross Capex'!$B66,'Forecast Expenditure-Volumes'!M$92:M$104)/1000+SUMIF('Forecast Contributions'!$B$8:$B$20,'Gross Capex'!$B66,'Forecast Contributions'!M$8:M$20)/1000</f>
        <v>0</v>
      </c>
      <c r="P66" s="143"/>
      <c r="Q66" s="143"/>
      <c r="R66" s="143"/>
      <c r="S66" s="143"/>
      <c r="T66" s="143"/>
    </row>
    <row r="67" spans="1:20" x14ac:dyDescent="0.2">
      <c r="A67" s="143"/>
      <c r="B67" s="36">
        <v>165</v>
      </c>
      <c r="C67" s="33" t="s">
        <v>142</v>
      </c>
      <c r="D67" s="143"/>
      <c r="E67" s="143"/>
      <c r="F67" s="96">
        <f>SUMIF('Historical Expenditure-Volumes'!$B$9:$B$22,'Gross Capex'!$B67,'Historical Expenditure-Volumes'!E$9:E$22)/1000+SUMIF('Historical Contributions'!$B$8:$B$20,'Gross Capex'!$B67,'Historical Contributions'!D$8:D$20)/1000</f>
        <v>0</v>
      </c>
      <c r="G67" s="96">
        <f>SUMIF('Historical Expenditure-Volumes'!$B$9:$B$22,'Gross Capex'!$B67,'Historical Expenditure-Volumes'!F$9:F$22)/1000+SUMIF('Historical Contributions'!$B$8:$B$20,'Gross Capex'!$B67,'Historical Contributions'!E$8:E$20)/1000</f>
        <v>0</v>
      </c>
      <c r="H67" s="96">
        <f>SUMIF('Historical Expenditure-Volumes'!$B$9:$B$22,'Gross Capex'!$B67,'Historical Expenditure-Volumes'!G$9:G$22)/1000+SUMIF('Historical Contributions'!$B$8:$B$20,'Gross Capex'!$B67,'Historical Contributions'!F$8:F$20)/1000</f>
        <v>0</v>
      </c>
      <c r="I67" s="185">
        <f>SUMIF('Forecast Expenditure-Volumes'!$B$92:$B$104,'Gross Capex'!$B67,'Forecast Expenditure-Volumes'!G$92:G$104)/1000+SUMIF('Forecast Contributions'!$B$8:$B$20,'Gross Capex'!$B67,'Forecast Contributions'!G$8:G$20)/1000</f>
        <v>0</v>
      </c>
      <c r="J67" s="185">
        <f>SUMIF('Forecast Expenditure-Volumes'!$B$92:$B$104,'Gross Capex'!$B67,'Forecast Expenditure-Volumes'!H$92:H$104)/1000+SUMIF('Forecast Contributions'!$B$8:$B$20,'Gross Capex'!$B67,'Forecast Contributions'!H$8:H$20)/1000</f>
        <v>0</v>
      </c>
      <c r="K67" s="185">
        <f>SUMIF('Forecast Expenditure-Volumes'!$B$92:$B$104,'Gross Capex'!$B67,'Forecast Expenditure-Volumes'!I$92:I$104)/1000+SUMIF('Forecast Contributions'!$B$8:$B$20,'Gross Capex'!$B67,'Forecast Contributions'!I$8:I$20)/1000</f>
        <v>0</v>
      </c>
      <c r="L67" s="185">
        <f>SUMIF('Forecast Expenditure-Volumes'!$B$92:$B$104,'Gross Capex'!$B67,'Forecast Expenditure-Volumes'!J$92:J$104)/1000+SUMIF('Forecast Contributions'!$B$8:$B$20,'Gross Capex'!$B67,'Forecast Contributions'!J$8:J$20)/1000</f>
        <v>0</v>
      </c>
      <c r="M67" s="185">
        <f>SUMIF('Forecast Expenditure-Volumes'!$B$92:$B$104,'Gross Capex'!$B67,'Forecast Expenditure-Volumes'!K$92:K$104)/1000+SUMIF('Forecast Contributions'!$B$8:$B$20,'Gross Capex'!$B67,'Forecast Contributions'!K$8:K$20)/1000</f>
        <v>0</v>
      </c>
      <c r="N67" s="185">
        <f>SUMIF('Forecast Expenditure-Volumes'!$B$92:$B$104,'Gross Capex'!$B67,'Forecast Expenditure-Volumes'!L$92:L$104)/1000+SUMIF('Forecast Contributions'!$B$8:$B$20,'Gross Capex'!$B67,'Forecast Contributions'!L$8:L$20)/1000</f>
        <v>0</v>
      </c>
      <c r="O67" s="185">
        <f>SUMIF('Forecast Expenditure-Volumes'!$B$92:$B$104,'Gross Capex'!$B67,'Forecast Expenditure-Volumes'!M$92:M$104)/1000+SUMIF('Forecast Contributions'!$B$8:$B$20,'Gross Capex'!$B67,'Forecast Contributions'!M$8:M$20)/1000</f>
        <v>0</v>
      </c>
      <c r="P67" s="143"/>
      <c r="Q67" s="143"/>
      <c r="R67" s="143"/>
      <c r="S67" s="143"/>
      <c r="T67" s="143"/>
    </row>
    <row r="68" spans="1:20" x14ac:dyDescent="0.2">
      <c r="A68" s="143"/>
      <c r="B68" s="36">
        <v>166</v>
      </c>
      <c r="C68" s="33" t="s">
        <v>143</v>
      </c>
      <c r="D68" s="143"/>
      <c r="E68" s="143"/>
      <c r="F68" s="96">
        <f>SUMIF('Historical Expenditure-Volumes'!$B$9:$B$22,'Gross Capex'!$B68,'Historical Expenditure-Volumes'!E$9:E$22)/1000+SUMIF('Historical Contributions'!$B$8:$B$20,'Gross Capex'!$B68,'Historical Contributions'!D$8:D$20)/1000</f>
        <v>0</v>
      </c>
      <c r="G68" s="96">
        <f>SUMIF('Historical Expenditure-Volumes'!$B$9:$B$22,'Gross Capex'!$B68,'Historical Expenditure-Volumes'!F$9:F$22)/1000+SUMIF('Historical Contributions'!$B$8:$B$20,'Gross Capex'!$B68,'Historical Contributions'!E$8:E$20)/1000</f>
        <v>0</v>
      </c>
      <c r="H68" s="96">
        <f>SUMIF('Historical Expenditure-Volumes'!$B$9:$B$22,'Gross Capex'!$B68,'Historical Expenditure-Volumes'!G$9:G$22)/1000+SUMIF('Historical Contributions'!$B$8:$B$20,'Gross Capex'!$B68,'Historical Contributions'!F$8:F$20)/1000</f>
        <v>0</v>
      </c>
      <c r="I68" s="185">
        <f>SUMIF('Forecast Expenditure-Volumes'!$B$92:$B$104,'Gross Capex'!$B68,'Forecast Expenditure-Volumes'!G$92:G$104)/1000+SUMIF('Forecast Contributions'!$B$8:$B$20,'Gross Capex'!$B68,'Forecast Contributions'!G$8:G$20)/1000</f>
        <v>0</v>
      </c>
      <c r="J68" s="185">
        <f>SUMIF('Forecast Expenditure-Volumes'!$B$92:$B$104,'Gross Capex'!$B68,'Forecast Expenditure-Volumes'!H$92:H$104)/1000+SUMIF('Forecast Contributions'!$B$8:$B$20,'Gross Capex'!$B68,'Forecast Contributions'!H$8:H$20)/1000</f>
        <v>0</v>
      </c>
      <c r="K68" s="185">
        <f>SUMIF('Forecast Expenditure-Volumes'!$B$92:$B$104,'Gross Capex'!$B68,'Forecast Expenditure-Volumes'!I$92:I$104)/1000+SUMIF('Forecast Contributions'!$B$8:$B$20,'Gross Capex'!$B68,'Forecast Contributions'!I$8:I$20)/1000</f>
        <v>0</v>
      </c>
      <c r="L68" s="185">
        <f>SUMIF('Forecast Expenditure-Volumes'!$B$92:$B$104,'Gross Capex'!$B68,'Forecast Expenditure-Volumes'!J$92:J$104)/1000+SUMIF('Forecast Contributions'!$B$8:$B$20,'Gross Capex'!$B68,'Forecast Contributions'!J$8:J$20)/1000</f>
        <v>0</v>
      </c>
      <c r="M68" s="185">
        <f>SUMIF('Forecast Expenditure-Volumes'!$B$92:$B$104,'Gross Capex'!$B68,'Forecast Expenditure-Volumes'!K$92:K$104)/1000+SUMIF('Forecast Contributions'!$B$8:$B$20,'Gross Capex'!$B68,'Forecast Contributions'!K$8:K$20)/1000</f>
        <v>0</v>
      </c>
      <c r="N68" s="185">
        <f>SUMIF('Forecast Expenditure-Volumes'!$B$92:$B$104,'Gross Capex'!$B68,'Forecast Expenditure-Volumes'!L$92:L$104)/1000+SUMIF('Forecast Contributions'!$B$8:$B$20,'Gross Capex'!$B68,'Forecast Contributions'!L$8:L$20)/1000</f>
        <v>0</v>
      </c>
      <c r="O68" s="185">
        <f>SUMIF('Forecast Expenditure-Volumes'!$B$92:$B$104,'Gross Capex'!$B68,'Forecast Expenditure-Volumes'!M$92:M$104)/1000+SUMIF('Forecast Contributions'!$B$8:$B$20,'Gross Capex'!$B68,'Forecast Contributions'!M$8:M$20)/1000</f>
        <v>0</v>
      </c>
      <c r="P68" s="143"/>
      <c r="Q68" s="143"/>
      <c r="R68" s="143"/>
      <c r="S68" s="143"/>
      <c r="T68" s="143"/>
    </row>
    <row r="69" spans="1:20" x14ac:dyDescent="0.2">
      <c r="A69" s="143"/>
      <c r="B69" s="36">
        <v>167</v>
      </c>
      <c r="C69" s="33" t="s">
        <v>144</v>
      </c>
      <c r="D69" s="143"/>
      <c r="E69" s="143"/>
      <c r="F69" s="96">
        <f>SUMIF('Historical Expenditure-Volumes'!$B$9:$B$22,'Gross Capex'!$B69,'Historical Expenditure-Volumes'!E$9:E$22)/1000+SUMIF('Historical Contributions'!$B$8:$B$20,'Gross Capex'!$B69,'Historical Contributions'!D$8:D$20)/1000</f>
        <v>0</v>
      </c>
      <c r="G69" s="96">
        <f>SUMIF('Historical Expenditure-Volumes'!$B$9:$B$22,'Gross Capex'!$B69,'Historical Expenditure-Volumes'!F$9:F$22)/1000+SUMIF('Historical Contributions'!$B$8:$B$20,'Gross Capex'!$B69,'Historical Contributions'!E$8:E$20)/1000</f>
        <v>0</v>
      </c>
      <c r="H69" s="96">
        <f>SUMIF('Historical Expenditure-Volumes'!$B$9:$B$22,'Gross Capex'!$B69,'Historical Expenditure-Volumes'!G$9:G$22)/1000+SUMIF('Historical Contributions'!$B$8:$B$20,'Gross Capex'!$B69,'Historical Contributions'!F$8:F$20)/1000</f>
        <v>0</v>
      </c>
      <c r="I69" s="185">
        <f>SUMIF('Forecast Expenditure-Volumes'!$B$92:$B$104,'Gross Capex'!$B69,'Forecast Expenditure-Volumes'!G$92:G$104)/1000+SUMIF('Forecast Contributions'!$B$8:$B$20,'Gross Capex'!$B69,'Forecast Contributions'!G$8:G$20)/1000</f>
        <v>0</v>
      </c>
      <c r="J69" s="185">
        <f>SUMIF('Forecast Expenditure-Volumes'!$B$92:$B$104,'Gross Capex'!$B69,'Forecast Expenditure-Volumes'!H$92:H$104)/1000+SUMIF('Forecast Contributions'!$B$8:$B$20,'Gross Capex'!$B69,'Forecast Contributions'!H$8:H$20)/1000</f>
        <v>0</v>
      </c>
      <c r="K69" s="185">
        <f>SUMIF('Forecast Expenditure-Volumes'!$B$92:$B$104,'Gross Capex'!$B69,'Forecast Expenditure-Volumes'!I$92:I$104)/1000+SUMIF('Forecast Contributions'!$B$8:$B$20,'Gross Capex'!$B69,'Forecast Contributions'!I$8:I$20)/1000</f>
        <v>0</v>
      </c>
      <c r="L69" s="185">
        <f>SUMIF('Forecast Expenditure-Volumes'!$B$92:$B$104,'Gross Capex'!$B69,'Forecast Expenditure-Volumes'!J$92:J$104)/1000+SUMIF('Forecast Contributions'!$B$8:$B$20,'Gross Capex'!$B69,'Forecast Contributions'!J$8:J$20)/1000</f>
        <v>0</v>
      </c>
      <c r="M69" s="185">
        <f>SUMIF('Forecast Expenditure-Volumes'!$B$92:$B$104,'Gross Capex'!$B69,'Forecast Expenditure-Volumes'!K$92:K$104)/1000+SUMIF('Forecast Contributions'!$B$8:$B$20,'Gross Capex'!$B69,'Forecast Contributions'!K$8:K$20)/1000</f>
        <v>0</v>
      </c>
      <c r="N69" s="185">
        <f>SUMIF('Forecast Expenditure-Volumes'!$B$92:$B$104,'Gross Capex'!$B69,'Forecast Expenditure-Volumes'!L$92:L$104)/1000+SUMIF('Forecast Contributions'!$B$8:$B$20,'Gross Capex'!$B69,'Forecast Contributions'!L$8:L$20)/1000</f>
        <v>0</v>
      </c>
      <c r="O69" s="185">
        <f>SUMIF('Forecast Expenditure-Volumes'!$B$92:$B$104,'Gross Capex'!$B69,'Forecast Expenditure-Volumes'!M$92:M$104)/1000+SUMIF('Forecast Contributions'!$B$8:$B$20,'Gross Capex'!$B69,'Forecast Contributions'!M$8:M$20)/1000</f>
        <v>0</v>
      </c>
      <c r="P69" s="143"/>
      <c r="Q69" s="143"/>
      <c r="R69" s="143"/>
      <c r="S69" s="143"/>
      <c r="T69" s="143"/>
    </row>
    <row r="70" spans="1:20" x14ac:dyDescent="0.2">
      <c r="A70" s="143"/>
      <c r="B70" s="36">
        <v>168</v>
      </c>
      <c r="C70" s="33" t="s">
        <v>145</v>
      </c>
      <c r="D70" s="143"/>
      <c r="E70" s="143"/>
      <c r="F70" s="96">
        <f>SUMIF('Historical Expenditure-Volumes'!$B$9:$B$22,'Gross Capex'!$B70,'Historical Expenditure-Volumes'!E$9:E$22)/1000+SUMIF('Historical Contributions'!$B$8:$B$20,'Gross Capex'!$B70,'Historical Contributions'!D$8:D$20)/1000</f>
        <v>0</v>
      </c>
      <c r="G70" s="96">
        <f>SUMIF('Historical Expenditure-Volumes'!$B$9:$B$22,'Gross Capex'!$B70,'Historical Expenditure-Volumes'!F$9:F$22)/1000+SUMIF('Historical Contributions'!$B$8:$B$20,'Gross Capex'!$B70,'Historical Contributions'!E$8:E$20)/1000</f>
        <v>0</v>
      </c>
      <c r="H70" s="96">
        <f>SUMIF('Historical Expenditure-Volumes'!$B$9:$B$22,'Gross Capex'!$B70,'Historical Expenditure-Volumes'!G$9:G$22)/1000+SUMIF('Historical Contributions'!$B$8:$B$20,'Gross Capex'!$B70,'Historical Contributions'!F$8:F$20)/1000</f>
        <v>0</v>
      </c>
      <c r="I70" s="185">
        <f>SUMIF('Forecast Expenditure-Volumes'!$B$92:$B$104,'Gross Capex'!$B70,'Forecast Expenditure-Volumes'!G$92:G$104)/1000+SUMIF('Forecast Contributions'!$B$8:$B$20,'Gross Capex'!$B70,'Forecast Contributions'!G$8:G$20)/1000</f>
        <v>0</v>
      </c>
      <c r="J70" s="185">
        <f>SUMIF('Forecast Expenditure-Volumes'!$B$92:$B$104,'Gross Capex'!$B70,'Forecast Expenditure-Volumes'!H$92:H$104)/1000+SUMIF('Forecast Contributions'!$B$8:$B$20,'Gross Capex'!$B70,'Forecast Contributions'!H$8:H$20)/1000</f>
        <v>0</v>
      </c>
      <c r="K70" s="185">
        <f>SUMIF('Forecast Expenditure-Volumes'!$B$92:$B$104,'Gross Capex'!$B70,'Forecast Expenditure-Volumes'!I$92:I$104)/1000+SUMIF('Forecast Contributions'!$B$8:$B$20,'Gross Capex'!$B70,'Forecast Contributions'!I$8:I$20)/1000</f>
        <v>0</v>
      </c>
      <c r="L70" s="185">
        <f>SUMIF('Forecast Expenditure-Volumes'!$B$92:$B$104,'Gross Capex'!$B70,'Forecast Expenditure-Volumes'!J$92:J$104)/1000+SUMIF('Forecast Contributions'!$B$8:$B$20,'Gross Capex'!$B70,'Forecast Contributions'!J$8:J$20)/1000</f>
        <v>0</v>
      </c>
      <c r="M70" s="185">
        <f>SUMIF('Forecast Expenditure-Volumes'!$B$92:$B$104,'Gross Capex'!$B70,'Forecast Expenditure-Volumes'!K$92:K$104)/1000+SUMIF('Forecast Contributions'!$B$8:$B$20,'Gross Capex'!$B70,'Forecast Contributions'!K$8:K$20)/1000</f>
        <v>0</v>
      </c>
      <c r="N70" s="185">
        <f>SUMIF('Forecast Expenditure-Volumes'!$B$92:$B$104,'Gross Capex'!$B70,'Forecast Expenditure-Volumes'!L$92:L$104)/1000+SUMIF('Forecast Contributions'!$B$8:$B$20,'Gross Capex'!$B70,'Forecast Contributions'!L$8:L$20)/1000</f>
        <v>0</v>
      </c>
      <c r="O70" s="185">
        <f>SUMIF('Forecast Expenditure-Volumes'!$B$92:$B$104,'Gross Capex'!$B70,'Forecast Expenditure-Volumes'!M$92:M$104)/1000+SUMIF('Forecast Contributions'!$B$8:$B$20,'Gross Capex'!$B70,'Forecast Contributions'!M$8:M$20)/1000</f>
        <v>0</v>
      </c>
      <c r="P70" s="143"/>
      <c r="Q70" s="143"/>
      <c r="R70" s="143"/>
      <c r="S70" s="143"/>
      <c r="T70" s="143"/>
    </row>
    <row r="71" spans="1:20" x14ac:dyDescent="0.2">
      <c r="A71" s="143"/>
      <c r="B71" s="36">
        <v>169</v>
      </c>
      <c r="C71" s="33" t="s">
        <v>146</v>
      </c>
      <c r="D71" s="143"/>
      <c r="E71" s="143"/>
      <c r="F71" s="96">
        <f>SUMIF('Historical Expenditure-Volumes'!$B$9:$B$22,'Gross Capex'!$B71,'Historical Expenditure-Volumes'!E$9:E$22)/1000+SUMIF('Historical Contributions'!$B$8:$B$20,'Gross Capex'!$B71,'Historical Contributions'!D$8:D$20)/1000</f>
        <v>0</v>
      </c>
      <c r="G71" s="96">
        <f>SUMIF('Historical Expenditure-Volumes'!$B$9:$B$22,'Gross Capex'!$B71,'Historical Expenditure-Volumes'!F$9:F$22)/1000+SUMIF('Historical Contributions'!$B$8:$B$20,'Gross Capex'!$B71,'Historical Contributions'!E$8:E$20)/1000</f>
        <v>0</v>
      </c>
      <c r="H71" s="96">
        <f>SUMIF('Historical Expenditure-Volumes'!$B$9:$B$22,'Gross Capex'!$B71,'Historical Expenditure-Volumes'!G$9:G$22)/1000+SUMIF('Historical Contributions'!$B$8:$B$20,'Gross Capex'!$B71,'Historical Contributions'!F$8:F$20)/1000</f>
        <v>0</v>
      </c>
      <c r="I71" s="185">
        <f>SUMIF('Forecast Expenditure-Volumes'!$B$92:$B$104,'Gross Capex'!$B71,'Forecast Expenditure-Volumes'!G$92:G$104)/1000+SUMIF('Forecast Contributions'!$B$8:$B$20,'Gross Capex'!$B71,'Forecast Contributions'!G$8:G$20)/1000</f>
        <v>0</v>
      </c>
      <c r="J71" s="185">
        <f>SUMIF('Forecast Expenditure-Volumes'!$B$92:$B$104,'Gross Capex'!$B71,'Forecast Expenditure-Volumes'!H$92:H$104)/1000+SUMIF('Forecast Contributions'!$B$8:$B$20,'Gross Capex'!$B71,'Forecast Contributions'!H$8:H$20)/1000</f>
        <v>0</v>
      </c>
      <c r="K71" s="185">
        <f>SUMIF('Forecast Expenditure-Volumes'!$B$92:$B$104,'Gross Capex'!$B71,'Forecast Expenditure-Volumes'!I$92:I$104)/1000+SUMIF('Forecast Contributions'!$B$8:$B$20,'Gross Capex'!$B71,'Forecast Contributions'!I$8:I$20)/1000</f>
        <v>0</v>
      </c>
      <c r="L71" s="185">
        <f>SUMIF('Forecast Expenditure-Volumes'!$B$92:$B$104,'Gross Capex'!$B71,'Forecast Expenditure-Volumes'!J$92:J$104)/1000+SUMIF('Forecast Contributions'!$B$8:$B$20,'Gross Capex'!$B71,'Forecast Contributions'!J$8:J$20)/1000</f>
        <v>0</v>
      </c>
      <c r="M71" s="185">
        <f>SUMIF('Forecast Expenditure-Volumes'!$B$92:$B$104,'Gross Capex'!$B71,'Forecast Expenditure-Volumes'!K$92:K$104)/1000+SUMIF('Forecast Contributions'!$B$8:$B$20,'Gross Capex'!$B71,'Forecast Contributions'!K$8:K$20)/1000</f>
        <v>0</v>
      </c>
      <c r="N71" s="185">
        <f>SUMIF('Forecast Expenditure-Volumes'!$B$92:$B$104,'Gross Capex'!$B71,'Forecast Expenditure-Volumes'!L$92:L$104)/1000+SUMIF('Forecast Contributions'!$B$8:$B$20,'Gross Capex'!$B71,'Forecast Contributions'!L$8:L$20)/1000</f>
        <v>0</v>
      </c>
      <c r="O71" s="185">
        <f>SUMIF('Forecast Expenditure-Volumes'!$B$92:$B$104,'Gross Capex'!$B71,'Forecast Expenditure-Volumes'!M$92:M$104)/1000+SUMIF('Forecast Contributions'!$B$8:$B$20,'Gross Capex'!$B71,'Forecast Contributions'!M$8:M$20)/1000</f>
        <v>0</v>
      </c>
      <c r="P71" s="143"/>
      <c r="Q71" s="143"/>
      <c r="R71" s="143"/>
      <c r="S71" s="143"/>
      <c r="T71" s="143"/>
    </row>
    <row r="72" spans="1:20" x14ac:dyDescent="0.2">
      <c r="A72" s="143"/>
      <c r="B72" s="36">
        <v>170</v>
      </c>
      <c r="C72" s="33" t="s">
        <v>119</v>
      </c>
      <c r="D72" s="143"/>
      <c r="E72" s="143"/>
      <c r="F72" s="96">
        <f>SUMIF('Historical Expenditure-Volumes'!$B$9:$B$22,'Gross Capex'!$B72,'Historical Expenditure-Volumes'!E$9:E$22)/1000+SUMIF('Historical Contributions'!$B$8:$B$20,'Gross Capex'!$B72,'Historical Contributions'!D$8:D$20)/1000</f>
        <v>0</v>
      </c>
      <c r="G72" s="96">
        <f>SUMIF('Historical Expenditure-Volumes'!$B$9:$B$22,'Gross Capex'!$B72,'Historical Expenditure-Volumes'!F$9:F$22)/1000+SUMIF('Historical Contributions'!$B$8:$B$20,'Gross Capex'!$B72,'Historical Contributions'!E$8:E$20)/1000</f>
        <v>0</v>
      </c>
      <c r="H72" s="96">
        <f>SUMIF('Historical Expenditure-Volumes'!$B$9:$B$22,'Gross Capex'!$B72,'Historical Expenditure-Volumes'!G$9:G$22)/1000+SUMIF('Historical Contributions'!$B$8:$B$20,'Gross Capex'!$B72,'Historical Contributions'!F$8:F$20)/1000</f>
        <v>0</v>
      </c>
      <c r="I72" s="185">
        <f>SUMIF('Forecast Expenditure-Volumes'!$B$92:$B$104,'Gross Capex'!$B72,'Forecast Expenditure-Volumes'!G$92:G$104)/1000+SUMIF('Forecast Contributions'!$B$8:$B$20,'Gross Capex'!$B72,'Forecast Contributions'!G$8:G$20)/1000</f>
        <v>0</v>
      </c>
      <c r="J72" s="185">
        <f>SUMIF('Forecast Expenditure-Volumes'!$B$92:$B$104,'Gross Capex'!$B72,'Forecast Expenditure-Volumes'!H$92:H$104)/1000+SUMIF('Forecast Contributions'!$B$8:$B$20,'Gross Capex'!$B72,'Forecast Contributions'!H$8:H$20)/1000</f>
        <v>0</v>
      </c>
      <c r="K72" s="185">
        <f>SUMIF('Forecast Expenditure-Volumes'!$B$92:$B$104,'Gross Capex'!$B72,'Forecast Expenditure-Volumes'!I$92:I$104)/1000+SUMIF('Forecast Contributions'!$B$8:$B$20,'Gross Capex'!$B72,'Forecast Contributions'!I$8:I$20)/1000</f>
        <v>0</v>
      </c>
      <c r="L72" s="185">
        <f>SUMIF('Forecast Expenditure-Volumes'!$B$92:$B$104,'Gross Capex'!$B72,'Forecast Expenditure-Volumes'!J$92:J$104)/1000+SUMIF('Forecast Contributions'!$B$8:$B$20,'Gross Capex'!$B72,'Forecast Contributions'!J$8:J$20)/1000</f>
        <v>0</v>
      </c>
      <c r="M72" s="185">
        <f>SUMIF('Forecast Expenditure-Volumes'!$B$92:$B$104,'Gross Capex'!$B72,'Forecast Expenditure-Volumes'!K$92:K$104)/1000+SUMIF('Forecast Contributions'!$B$8:$B$20,'Gross Capex'!$B72,'Forecast Contributions'!K$8:K$20)/1000</f>
        <v>0</v>
      </c>
      <c r="N72" s="185">
        <f>SUMIF('Forecast Expenditure-Volumes'!$B$92:$B$104,'Gross Capex'!$B72,'Forecast Expenditure-Volumes'!L$92:L$104)/1000+SUMIF('Forecast Contributions'!$B$8:$B$20,'Gross Capex'!$B72,'Forecast Contributions'!L$8:L$20)/1000</f>
        <v>0</v>
      </c>
      <c r="O72" s="185">
        <f>SUMIF('Forecast Expenditure-Volumes'!$B$92:$B$104,'Gross Capex'!$B72,'Forecast Expenditure-Volumes'!M$92:M$104)/1000+SUMIF('Forecast Contributions'!$B$8:$B$20,'Gross Capex'!$B72,'Forecast Contributions'!M$8:M$20)/1000</f>
        <v>0</v>
      </c>
      <c r="P72" s="143"/>
      <c r="Q72" s="143"/>
      <c r="R72" s="143"/>
      <c r="S72" s="143"/>
      <c r="T72" s="143"/>
    </row>
    <row r="73" spans="1:20" x14ac:dyDescent="0.2">
      <c r="A73" s="143"/>
      <c r="B73" s="36">
        <v>171</v>
      </c>
      <c r="C73" s="33" t="s">
        <v>147</v>
      </c>
      <c r="D73" s="143"/>
      <c r="E73" s="143"/>
      <c r="F73" s="96">
        <f>SUMIF('Historical Expenditure-Volumes'!$B$9:$B$22,'Gross Capex'!$B73,'Historical Expenditure-Volumes'!E$9:E$22)/1000+SUMIF('Historical Contributions'!$B$8:$B$20,'Gross Capex'!$B73,'Historical Contributions'!D$8:D$20)/1000</f>
        <v>0</v>
      </c>
      <c r="G73" s="96">
        <f>SUMIF('Historical Expenditure-Volumes'!$B$9:$B$22,'Gross Capex'!$B73,'Historical Expenditure-Volumes'!F$9:F$22)/1000+SUMIF('Historical Contributions'!$B$8:$B$20,'Gross Capex'!$B73,'Historical Contributions'!E$8:E$20)/1000</f>
        <v>0</v>
      </c>
      <c r="H73" s="96">
        <f>SUMIF('Historical Expenditure-Volumes'!$B$9:$B$22,'Gross Capex'!$B73,'Historical Expenditure-Volumes'!G$9:G$22)/1000+SUMIF('Historical Contributions'!$B$8:$B$20,'Gross Capex'!$B73,'Historical Contributions'!F$8:F$20)/1000</f>
        <v>0</v>
      </c>
      <c r="I73" s="185">
        <f>SUMIF('Forecast Expenditure-Volumes'!$B$92:$B$104,'Gross Capex'!$B73,'Forecast Expenditure-Volumes'!G$92:G$104)/1000+SUMIF('Forecast Contributions'!$B$8:$B$20,'Gross Capex'!$B73,'Forecast Contributions'!G$8:G$20)/1000</f>
        <v>0</v>
      </c>
      <c r="J73" s="185">
        <f>SUMIF('Forecast Expenditure-Volumes'!$B$92:$B$104,'Gross Capex'!$B73,'Forecast Expenditure-Volumes'!H$92:H$104)/1000+SUMIF('Forecast Contributions'!$B$8:$B$20,'Gross Capex'!$B73,'Forecast Contributions'!H$8:H$20)/1000</f>
        <v>0</v>
      </c>
      <c r="K73" s="185">
        <f>SUMIF('Forecast Expenditure-Volumes'!$B$92:$B$104,'Gross Capex'!$B73,'Forecast Expenditure-Volumes'!I$92:I$104)/1000+SUMIF('Forecast Contributions'!$B$8:$B$20,'Gross Capex'!$B73,'Forecast Contributions'!I$8:I$20)/1000</f>
        <v>0</v>
      </c>
      <c r="L73" s="185">
        <f>SUMIF('Forecast Expenditure-Volumes'!$B$92:$B$104,'Gross Capex'!$B73,'Forecast Expenditure-Volumes'!J$92:J$104)/1000+SUMIF('Forecast Contributions'!$B$8:$B$20,'Gross Capex'!$B73,'Forecast Contributions'!J$8:J$20)/1000</f>
        <v>0</v>
      </c>
      <c r="M73" s="185">
        <f>SUMIF('Forecast Expenditure-Volumes'!$B$92:$B$104,'Gross Capex'!$B73,'Forecast Expenditure-Volumes'!K$92:K$104)/1000+SUMIF('Forecast Contributions'!$B$8:$B$20,'Gross Capex'!$B73,'Forecast Contributions'!K$8:K$20)/1000</f>
        <v>0</v>
      </c>
      <c r="N73" s="185">
        <f>SUMIF('Forecast Expenditure-Volumes'!$B$92:$B$104,'Gross Capex'!$B73,'Forecast Expenditure-Volumes'!L$92:L$104)/1000+SUMIF('Forecast Contributions'!$B$8:$B$20,'Gross Capex'!$B73,'Forecast Contributions'!L$8:L$20)/1000</f>
        <v>0</v>
      </c>
      <c r="O73" s="185">
        <f>SUMIF('Forecast Expenditure-Volumes'!$B$92:$B$104,'Gross Capex'!$B73,'Forecast Expenditure-Volumes'!M$92:M$104)/1000+SUMIF('Forecast Contributions'!$B$8:$B$20,'Gross Capex'!$B73,'Forecast Contributions'!M$8:M$20)/1000</f>
        <v>0</v>
      </c>
      <c r="P73" s="143"/>
      <c r="Q73" s="143"/>
      <c r="R73" s="143"/>
      <c r="S73" s="143"/>
      <c r="T73" s="143"/>
    </row>
    <row r="74" spans="1:20" x14ac:dyDescent="0.2">
      <c r="A74" s="143"/>
      <c r="B74" s="36">
        <v>172</v>
      </c>
      <c r="C74" s="33" t="s">
        <v>148</v>
      </c>
      <c r="D74" s="143"/>
      <c r="E74" s="143"/>
      <c r="F74" s="96">
        <f>SUMIF('Historical Expenditure-Volumes'!$B$9:$B$22,'Gross Capex'!$B74,'Historical Expenditure-Volumes'!E$9:E$22)/1000+SUMIF('Historical Contributions'!$B$8:$B$20,'Gross Capex'!$B74,'Historical Contributions'!D$8:D$20)/1000</f>
        <v>0</v>
      </c>
      <c r="G74" s="96">
        <f>SUMIF('Historical Expenditure-Volumes'!$B$9:$B$22,'Gross Capex'!$B74,'Historical Expenditure-Volumes'!F$9:F$22)/1000+SUMIF('Historical Contributions'!$B$8:$B$20,'Gross Capex'!$B74,'Historical Contributions'!E$8:E$20)/1000</f>
        <v>0</v>
      </c>
      <c r="H74" s="96">
        <f>SUMIF('Historical Expenditure-Volumes'!$B$9:$B$22,'Gross Capex'!$B74,'Historical Expenditure-Volumes'!G$9:G$22)/1000+SUMIF('Historical Contributions'!$B$8:$B$20,'Gross Capex'!$B74,'Historical Contributions'!F$8:F$20)/1000</f>
        <v>0</v>
      </c>
      <c r="I74" s="185">
        <f>SUMIF('Forecast Expenditure-Volumes'!$B$92:$B$104,'Gross Capex'!$B74,'Forecast Expenditure-Volumes'!G$92:G$104)/1000+SUMIF('Forecast Contributions'!$B$8:$B$20,'Gross Capex'!$B74,'Forecast Contributions'!G$8:G$20)/1000</f>
        <v>0</v>
      </c>
      <c r="J74" s="185">
        <f>SUMIF('Forecast Expenditure-Volumes'!$B$92:$B$104,'Gross Capex'!$B74,'Forecast Expenditure-Volumes'!H$92:H$104)/1000+SUMIF('Forecast Contributions'!$B$8:$B$20,'Gross Capex'!$B74,'Forecast Contributions'!H$8:H$20)/1000</f>
        <v>0</v>
      </c>
      <c r="K74" s="185">
        <f>SUMIF('Forecast Expenditure-Volumes'!$B$92:$B$104,'Gross Capex'!$B74,'Forecast Expenditure-Volumes'!I$92:I$104)/1000+SUMIF('Forecast Contributions'!$B$8:$B$20,'Gross Capex'!$B74,'Forecast Contributions'!I$8:I$20)/1000</f>
        <v>0</v>
      </c>
      <c r="L74" s="185">
        <f>SUMIF('Forecast Expenditure-Volumes'!$B$92:$B$104,'Gross Capex'!$B74,'Forecast Expenditure-Volumes'!J$92:J$104)/1000+SUMIF('Forecast Contributions'!$B$8:$B$20,'Gross Capex'!$B74,'Forecast Contributions'!J$8:J$20)/1000</f>
        <v>0</v>
      </c>
      <c r="M74" s="185">
        <f>SUMIF('Forecast Expenditure-Volumes'!$B$92:$B$104,'Gross Capex'!$B74,'Forecast Expenditure-Volumes'!K$92:K$104)/1000+SUMIF('Forecast Contributions'!$B$8:$B$20,'Gross Capex'!$B74,'Forecast Contributions'!K$8:K$20)/1000</f>
        <v>0</v>
      </c>
      <c r="N74" s="185">
        <f>SUMIF('Forecast Expenditure-Volumes'!$B$92:$B$104,'Gross Capex'!$B74,'Forecast Expenditure-Volumes'!L$92:L$104)/1000+SUMIF('Forecast Contributions'!$B$8:$B$20,'Gross Capex'!$B74,'Forecast Contributions'!L$8:L$20)/1000</f>
        <v>0</v>
      </c>
      <c r="O74" s="185">
        <f>SUMIF('Forecast Expenditure-Volumes'!$B$92:$B$104,'Gross Capex'!$B74,'Forecast Expenditure-Volumes'!M$92:M$104)/1000+SUMIF('Forecast Contributions'!$B$8:$B$20,'Gross Capex'!$B74,'Forecast Contributions'!M$8:M$20)/1000</f>
        <v>0</v>
      </c>
      <c r="P74" s="143"/>
      <c r="Q74" s="143"/>
      <c r="R74" s="143"/>
      <c r="S74" s="143"/>
      <c r="T74" s="143"/>
    </row>
    <row r="75" spans="1:20" x14ac:dyDescent="0.2">
      <c r="A75" s="143"/>
      <c r="B75" s="36">
        <v>174</v>
      </c>
      <c r="C75" s="33" t="s">
        <v>149</v>
      </c>
      <c r="D75" s="143"/>
      <c r="E75" s="143"/>
      <c r="F75" s="96">
        <f>SUMIF('Historical Expenditure-Volumes'!$B$9:$B$22,'Gross Capex'!$B75,'Historical Expenditure-Volumes'!E$9:E$22)/1000+SUMIF('Historical Contributions'!$B$8:$B$20,'Gross Capex'!$B75,'Historical Contributions'!D$8:D$20)/1000</f>
        <v>0</v>
      </c>
      <c r="G75" s="96">
        <f>SUMIF('Historical Expenditure-Volumes'!$B$9:$B$22,'Gross Capex'!$B75,'Historical Expenditure-Volumes'!F$9:F$22)/1000+SUMIF('Historical Contributions'!$B$8:$B$20,'Gross Capex'!$B75,'Historical Contributions'!E$8:E$20)/1000</f>
        <v>0</v>
      </c>
      <c r="H75" s="96">
        <f>SUMIF('Historical Expenditure-Volumes'!$B$9:$B$22,'Gross Capex'!$B75,'Historical Expenditure-Volumes'!G$9:G$22)/1000+SUMIF('Historical Contributions'!$B$8:$B$20,'Gross Capex'!$B75,'Historical Contributions'!F$8:F$20)/1000</f>
        <v>0</v>
      </c>
      <c r="I75" s="185">
        <f>SUMIF('Forecast Expenditure-Volumes'!$B$92:$B$104,'Gross Capex'!$B75,'Forecast Expenditure-Volumes'!G$92:G$104)/1000+SUMIF('Forecast Contributions'!$B$8:$B$20,'Gross Capex'!$B75,'Forecast Contributions'!G$8:G$20)/1000</f>
        <v>0</v>
      </c>
      <c r="J75" s="185">
        <f>SUMIF('Forecast Expenditure-Volumes'!$B$92:$B$104,'Gross Capex'!$B75,'Forecast Expenditure-Volumes'!H$92:H$104)/1000+SUMIF('Forecast Contributions'!$B$8:$B$20,'Gross Capex'!$B75,'Forecast Contributions'!H$8:H$20)/1000</f>
        <v>0</v>
      </c>
      <c r="K75" s="185">
        <f>SUMIF('Forecast Expenditure-Volumes'!$B$92:$B$104,'Gross Capex'!$B75,'Forecast Expenditure-Volumes'!I$92:I$104)/1000+SUMIF('Forecast Contributions'!$B$8:$B$20,'Gross Capex'!$B75,'Forecast Contributions'!I$8:I$20)/1000</f>
        <v>0</v>
      </c>
      <c r="L75" s="185">
        <f>SUMIF('Forecast Expenditure-Volumes'!$B$92:$B$104,'Gross Capex'!$B75,'Forecast Expenditure-Volumes'!J$92:J$104)/1000+SUMIF('Forecast Contributions'!$B$8:$B$20,'Gross Capex'!$B75,'Forecast Contributions'!J$8:J$20)/1000</f>
        <v>0</v>
      </c>
      <c r="M75" s="185">
        <f>SUMIF('Forecast Expenditure-Volumes'!$B$92:$B$104,'Gross Capex'!$B75,'Forecast Expenditure-Volumes'!K$92:K$104)/1000+SUMIF('Forecast Contributions'!$B$8:$B$20,'Gross Capex'!$B75,'Forecast Contributions'!K$8:K$20)/1000</f>
        <v>0</v>
      </c>
      <c r="N75" s="185">
        <f>SUMIF('Forecast Expenditure-Volumes'!$B$92:$B$104,'Gross Capex'!$B75,'Forecast Expenditure-Volumes'!L$92:L$104)/1000+SUMIF('Forecast Contributions'!$B$8:$B$20,'Gross Capex'!$B75,'Forecast Contributions'!L$8:L$20)/1000</f>
        <v>0</v>
      </c>
      <c r="O75" s="185">
        <f>SUMIF('Forecast Expenditure-Volumes'!$B$92:$B$104,'Gross Capex'!$B75,'Forecast Expenditure-Volumes'!M$92:M$104)/1000+SUMIF('Forecast Contributions'!$B$8:$B$20,'Gross Capex'!$B75,'Forecast Contributions'!M$8:M$20)/1000</f>
        <v>0</v>
      </c>
      <c r="P75" s="143"/>
      <c r="Q75" s="143"/>
      <c r="R75" s="143"/>
      <c r="S75" s="143"/>
      <c r="T75" s="143"/>
    </row>
    <row r="76" spans="1:20" x14ac:dyDescent="0.2">
      <c r="A76" s="143"/>
      <c r="B76" s="36">
        <v>175</v>
      </c>
      <c r="C76" s="33" t="s">
        <v>150</v>
      </c>
      <c r="D76" s="143"/>
      <c r="E76" s="143"/>
      <c r="F76" s="96">
        <f>SUMIF('Historical Expenditure-Volumes'!$B$9:$B$22,'Gross Capex'!$B76,'Historical Expenditure-Volumes'!E$9:E$22)/1000+SUMIF('Historical Contributions'!$B$8:$B$20,'Gross Capex'!$B76,'Historical Contributions'!D$8:D$20)/1000</f>
        <v>0</v>
      </c>
      <c r="G76" s="96">
        <f>SUMIF('Historical Expenditure-Volumes'!$B$9:$B$22,'Gross Capex'!$B76,'Historical Expenditure-Volumes'!F$9:F$22)/1000+SUMIF('Historical Contributions'!$B$8:$B$20,'Gross Capex'!$B76,'Historical Contributions'!E$8:E$20)/1000</f>
        <v>0</v>
      </c>
      <c r="H76" s="96">
        <f>SUMIF('Historical Expenditure-Volumes'!$B$9:$B$22,'Gross Capex'!$B76,'Historical Expenditure-Volumes'!G$9:G$22)/1000+SUMIF('Historical Contributions'!$B$8:$B$20,'Gross Capex'!$B76,'Historical Contributions'!F$8:F$20)/1000</f>
        <v>0</v>
      </c>
      <c r="I76" s="185">
        <f>SUMIF('Forecast Expenditure-Volumes'!$B$92:$B$104,'Gross Capex'!$B76,'Forecast Expenditure-Volumes'!G$92:G$104)/1000+SUMIF('Forecast Contributions'!$B$8:$B$20,'Gross Capex'!$B76,'Forecast Contributions'!G$8:G$20)/1000</f>
        <v>0</v>
      </c>
      <c r="J76" s="185">
        <f>SUMIF('Forecast Expenditure-Volumes'!$B$92:$B$104,'Gross Capex'!$B76,'Forecast Expenditure-Volumes'!H$92:H$104)/1000+SUMIF('Forecast Contributions'!$B$8:$B$20,'Gross Capex'!$B76,'Forecast Contributions'!H$8:H$20)/1000</f>
        <v>0</v>
      </c>
      <c r="K76" s="185">
        <f>SUMIF('Forecast Expenditure-Volumes'!$B$92:$B$104,'Gross Capex'!$B76,'Forecast Expenditure-Volumes'!I$92:I$104)/1000+SUMIF('Forecast Contributions'!$B$8:$B$20,'Gross Capex'!$B76,'Forecast Contributions'!I$8:I$20)/1000</f>
        <v>0</v>
      </c>
      <c r="L76" s="185">
        <f>SUMIF('Forecast Expenditure-Volumes'!$B$92:$B$104,'Gross Capex'!$B76,'Forecast Expenditure-Volumes'!J$92:J$104)/1000+SUMIF('Forecast Contributions'!$B$8:$B$20,'Gross Capex'!$B76,'Forecast Contributions'!J$8:J$20)/1000</f>
        <v>0</v>
      </c>
      <c r="M76" s="185">
        <f>SUMIF('Forecast Expenditure-Volumes'!$B$92:$B$104,'Gross Capex'!$B76,'Forecast Expenditure-Volumes'!K$92:K$104)/1000+SUMIF('Forecast Contributions'!$B$8:$B$20,'Gross Capex'!$B76,'Forecast Contributions'!K$8:K$20)/1000</f>
        <v>0</v>
      </c>
      <c r="N76" s="185">
        <f>SUMIF('Forecast Expenditure-Volumes'!$B$92:$B$104,'Gross Capex'!$B76,'Forecast Expenditure-Volumes'!L$92:L$104)/1000+SUMIF('Forecast Contributions'!$B$8:$B$20,'Gross Capex'!$B76,'Forecast Contributions'!L$8:L$20)/1000</f>
        <v>0</v>
      </c>
      <c r="O76" s="185">
        <f>SUMIF('Forecast Expenditure-Volumes'!$B$92:$B$104,'Gross Capex'!$B76,'Forecast Expenditure-Volumes'!M$92:M$104)/1000+SUMIF('Forecast Contributions'!$B$8:$B$20,'Gross Capex'!$B76,'Forecast Contributions'!M$8:M$20)/1000</f>
        <v>0</v>
      </c>
      <c r="P76" s="143"/>
      <c r="Q76" s="143"/>
      <c r="R76" s="143"/>
      <c r="S76" s="143"/>
      <c r="T76" s="143"/>
    </row>
    <row r="77" spans="1:20" x14ac:dyDescent="0.2">
      <c r="A77" s="143"/>
      <c r="B77" s="36">
        <v>176</v>
      </c>
      <c r="C77" s="33" t="s">
        <v>151</v>
      </c>
      <c r="D77" s="143"/>
      <c r="E77" s="143"/>
      <c r="F77" s="96">
        <f>SUMIF('Historical Expenditure-Volumes'!$B$9:$B$22,'Gross Capex'!$B77,'Historical Expenditure-Volumes'!E$9:E$22)/1000+SUMIF('Historical Contributions'!$B$8:$B$20,'Gross Capex'!$B77,'Historical Contributions'!D$8:D$20)/1000</f>
        <v>0</v>
      </c>
      <c r="G77" s="96">
        <f>SUMIF('Historical Expenditure-Volumes'!$B$9:$B$22,'Gross Capex'!$B77,'Historical Expenditure-Volumes'!F$9:F$22)/1000+SUMIF('Historical Contributions'!$B$8:$B$20,'Gross Capex'!$B77,'Historical Contributions'!E$8:E$20)/1000</f>
        <v>0</v>
      </c>
      <c r="H77" s="96">
        <f>SUMIF('Historical Expenditure-Volumes'!$B$9:$B$22,'Gross Capex'!$B77,'Historical Expenditure-Volumes'!G$9:G$22)/1000+SUMIF('Historical Contributions'!$B$8:$B$20,'Gross Capex'!$B77,'Historical Contributions'!F$8:F$20)/1000</f>
        <v>0</v>
      </c>
      <c r="I77" s="185">
        <f>SUMIF('Forecast Expenditure-Volumes'!$B$92:$B$104,'Gross Capex'!$B77,'Forecast Expenditure-Volumes'!G$92:G$104)/1000+SUMIF('Forecast Contributions'!$B$8:$B$20,'Gross Capex'!$B77,'Forecast Contributions'!G$8:G$20)/1000</f>
        <v>0</v>
      </c>
      <c r="J77" s="185">
        <f>SUMIF('Forecast Expenditure-Volumes'!$B$92:$B$104,'Gross Capex'!$B77,'Forecast Expenditure-Volumes'!H$92:H$104)/1000+SUMIF('Forecast Contributions'!$B$8:$B$20,'Gross Capex'!$B77,'Forecast Contributions'!H$8:H$20)/1000</f>
        <v>0</v>
      </c>
      <c r="K77" s="185">
        <f>SUMIF('Forecast Expenditure-Volumes'!$B$92:$B$104,'Gross Capex'!$B77,'Forecast Expenditure-Volumes'!I$92:I$104)/1000+SUMIF('Forecast Contributions'!$B$8:$B$20,'Gross Capex'!$B77,'Forecast Contributions'!I$8:I$20)/1000</f>
        <v>0</v>
      </c>
      <c r="L77" s="185">
        <f>SUMIF('Forecast Expenditure-Volumes'!$B$92:$B$104,'Gross Capex'!$B77,'Forecast Expenditure-Volumes'!J$92:J$104)/1000+SUMIF('Forecast Contributions'!$B$8:$B$20,'Gross Capex'!$B77,'Forecast Contributions'!J$8:J$20)/1000</f>
        <v>0</v>
      </c>
      <c r="M77" s="185">
        <f>SUMIF('Forecast Expenditure-Volumes'!$B$92:$B$104,'Gross Capex'!$B77,'Forecast Expenditure-Volumes'!K$92:K$104)/1000+SUMIF('Forecast Contributions'!$B$8:$B$20,'Gross Capex'!$B77,'Forecast Contributions'!K$8:K$20)/1000</f>
        <v>0</v>
      </c>
      <c r="N77" s="185">
        <f>SUMIF('Forecast Expenditure-Volumes'!$B$92:$B$104,'Gross Capex'!$B77,'Forecast Expenditure-Volumes'!L$92:L$104)/1000+SUMIF('Forecast Contributions'!$B$8:$B$20,'Gross Capex'!$B77,'Forecast Contributions'!L$8:L$20)/1000</f>
        <v>0</v>
      </c>
      <c r="O77" s="185">
        <f>SUMIF('Forecast Expenditure-Volumes'!$B$92:$B$104,'Gross Capex'!$B77,'Forecast Expenditure-Volumes'!M$92:M$104)/1000+SUMIF('Forecast Contributions'!$B$8:$B$20,'Gross Capex'!$B77,'Forecast Contributions'!M$8:M$20)/1000</f>
        <v>0</v>
      </c>
      <c r="P77" s="143"/>
      <c r="Q77" s="143"/>
      <c r="R77" s="143"/>
      <c r="S77" s="143"/>
      <c r="T77" s="143"/>
    </row>
    <row r="78" spans="1:20" x14ac:dyDescent="0.2">
      <c r="A78" s="143"/>
      <c r="B78" s="36">
        <v>177</v>
      </c>
      <c r="C78" s="33" t="s">
        <v>152</v>
      </c>
      <c r="D78" s="143"/>
      <c r="E78" s="143"/>
      <c r="F78" s="96">
        <f>SUMIF('Historical Expenditure-Volumes'!$B$9:$B$22,'Gross Capex'!$B78,'Historical Expenditure-Volumes'!E$9:E$22)/1000+SUMIF('Historical Contributions'!$B$8:$B$20,'Gross Capex'!$B78,'Historical Contributions'!D$8:D$20)/1000</f>
        <v>0</v>
      </c>
      <c r="G78" s="96">
        <f>SUMIF('Historical Expenditure-Volumes'!$B$9:$B$22,'Gross Capex'!$B78,'Historical Expenditure-Volumes'!F$9:F$22)/1000+SUMIF('Historical Contributions'!$B$8:$B$20,'Gross Capex'!$B78,'Historical Contributions'!E$8:E$20)/1000</f>
        <v>0</v>
      </c>
      <c r="H78" s="96">
        <f>SUMIF('Historical Expenditure-Volumes'!$B$9:$B$22,'Gross Capex'!$B78,'Historical Expenditure-Volumes'!G$9:G$22)/1000+SUMIF('Historical Contributions'!$B$8:$B$20,'Gross Capex'!$B78,'Historical Contributions'!F$8:F$20)/1000</f>
        <v>0</v>
      </c>
      <c r="I78" s="185">
        <f>SUMIF('Forecast Expenditure-Volumes'!$B$92:$B$104,'Gross Capex'!$B78,'Forecast Expenditure-Volumes'!G$92:G$104)/1000+SUMIF('Forecast Contributions'!$B$8:$B$20,'Gross Capex'!$B78,'Forecast Contributions'!G$8:G$20)/1000</f>
        <v>0</v>
      </c>
      <c r="J78" s="185">
        <f>SUMIF('Forecast Expenditure-Volumes'!$B$92:$B$104,'Gross Capex'!$B78,'Forecast Expenditure-Volumes'!H$92:H$104)/1000+SUMIF('Forecast Contributions'!$B$8:$B$20,'Gross Capex'!$B78,'Forecast Contributions'!H$8:H$20)/1000</f>
        <v>0</v>
      </c>
      <c r="K78" s="185">
        <f>SUMIF('Forecast Expenditure-Volumes'!$B$92:$B$104,'Gross Capex'!$B78,'Forecast Expenditure-Volumes'!I$92:I$104)/1000+SUMIF('Forecast Contributions'!$B$8:$B$20,'Gross Capex'!$B78,'Forecast Contributions'!I$8:I$20)/1000</f>
        <v>0</v>
      </c>
      <c r="L78" s="185">
        <f>SUMIF('Forecast Expenditure-Volumes'!$B$92:$B$104,'Gross Capex'!$B78,'Forecast Expenditure-Volumes'!J$92:J$104)/1000+SUMIF('Forecast Contributions'!$B$8:$B$20,'Gross Capex'!$B78,'Forecast Contributions'!J$8:J$20)/1000</f>
        <v>0</v>
      </c>
      <c r="M78" s="185">
        <f>SUMIF('Forecast Expenditure-Volumes'!$B$92:$B$104,'Gross Capex'!$B78,'Forecast Expenditure-Volumes'!K$92:K$104)/1000+SUMIF('Forecast Contributions'!$B$8:$B$20,'Gross Capex'!$B78,'Forecast Contributions'!K$8:K$20)/1000</f>
        <v>0</v>
      </c>
      <c r="N78" s="185">
        <f>SUMIF('Forecast Expenditure-Volumes'!$B$92:$B$104,'Gross Capex'!$B78,'Forecast Expenditure-Volumes'!L$92:L$104)/1000+SUMIF('Forecast Contributions'!$B$8:$B$20,'Gross Capex'!$B78,'Forecast Contributions'!L$8:L$20)/1000</f>
        <v>0</v>
      </c>
      <c r="O78" s="185">
        <f>SUMIF('Forecast Expenditure-Volumes'!$B$92:$B$104,'Gross Capex'!$B78,'Forecast Expenditure-Volumes'!M$92:M$104)/1000+SUMIF('Forecast Contributions'!$B$8:$B$20,'Gross Capex'!$B78,'Forecast Contributions'!M$8:M$20)/1000</f>
        <v>0</v>
      </c>
      <c r="P78" s="143"/>
      <c r="Q78" s="143"/>
      <c r="R78" s="143"/>
      <c r="S78" s="143"/>
      <c r="T78" s="143"/>
    </row>
    <row r="79" spans="1:20" x14ac:dyDescent="0.2">
      <c r="A79" s="143"/>
      <c r="B79" s="36">
        <v>200</v>
      </c>
      <c r="C79" s="33" t="s">
        <v>153</v>
      </c>
      <c r="D79" s="143"/>
      <c r="E79" s="143"/>
      <c r="F79" s="96">
        <f>SUMIF('Historical Expenditure-Volumes'!$B$9:$B$22,'Gross Capex'!$B79,'Historical Expenditure-Volumes'!E$9:E$22)/1000+SUMIF('Historical Contributions'!$B$8:$B$20,'Gross Capex'!$B79,'Historical Contributions'!D$8:D$20)/1000</f>
        <v>0</v>
      </c>
      <c r="G79" s="96">
        <f>SUMIF('Historical Expenditure-Volumes'!$B$9:$B$22,'Gross Capex'!$B79,'Historical Expenditure-Volumes'!F$9:F$22)/1000+SUMIF('Historical Contributions'!$B$8:$B$20,'Gross Capex'!$B79,'Historical Contributions'!E$8:E$20)/1000</f>
        <v>0</v>
      </c>
      <c r="H79" s="96">
        <f>SUMIF('Historical Expenditure-Volumes'!$B$9:$B$22,'Gross Capex'!$B79,'Historical Expenditure-Volumes'!G$9:G$22)/1000+SUMIF('Historical Contributions'!$B$8:$B$20,'Gross Capex'!$B79,'Historical Contributions'!F$8:F$20)/1000</f>
        <v>0</v>
      </c>
      <c r="I79" s="185">
        <f>SUMIF('Forecast Expenditure-Volumes'!$B$92:$B$104,'Gross Capex'!$B79,'Forecast Expenditure-Volumes'!G$92:G$104)/1000+SUMIF('Forecast Contributions'!$B$8:$B$20,'Gross Capex'!$B79,'Forecast Contributions'!G$8:G$20)/1000</f>
        <v>0</v>
      </c>
      <c r="J79" s="185">
        <f>SUMIF('Forecast Expenditure-Volumes'!$B$92:$B$104,'Gross Capex'!$B79,'Forecast Expenditure-Volumes'!H$92:H$104)/1000+SUMIF('Forecast Contributions'!$B$8:$B$20,'Gross Capex'!$B79,'Forecast Contributions'!H$8:H$20)/1000</f>
        <v>0</v>
      </c>
      <c r="K79" s="185">
        <f>SUMIF('Forecast Expenditure-Volumes'!$B$92:$B$104,'Gross Capex'!$B79,'Forecast Expenditure-Volumes'!I$92:I$104)/1000+SUMIF('Forecast Contributions'!$B$8:$B$20,'Gross Capex'!$B79,'Forecast Contributions'!I$8:I$20)/1000</f>
        <v>0</v>
      </c>
      <c r="L79" s="185">
        <f>SUMIF('Forecast Expenditure-Volumes'!$B$92:$B$104,'Gross Capex'!$B79,'Forecast Expenditure-Volumes'!J$92:J$104)/1000+SUMIF('Forecast Contributions'!$B$8:$B$20,'Gross Capex'!$B79,'Forecast Contributions'!J$8:J$20)/1000</f>
        <v>0</v>
      </c>
      <c r="M79" s="185">
        <f>SUMIF('Forecast Expenditure-Volumes'!$B$92:$B$104,'Gross Capex'!$B79,'Forecast Expenditure-Volumes'!K$92:K$104)/1000+SUMIF('Forecast Contributions'!$B$8:$B$20,'Gross Capex'!$B79,'Forecast Contributions'!K$8:K$20)/1000</f>
        <v>0</v>
      </c>
      <c r="N79" s="185">
        <f>SUMIF('Forecast Expenditure-Volumes'!$B$92:$B$104,'Gross Capex'!$B79,'Forecast Expenditure-Volumes'!L$92:L$104)/1000+SUMIF('Forecast Contributions'!$B$8:$B$20,'Gross Capex'!$B79,'Forecast Contributions'!L$8:L$20)/1000</f>
        <v>0</v>
      </c>
      <c r="O79" s="185">
        <f>SUMIF('Forecast Expenditure-Volumes'!$B$92:$B$104,'Gross Capex'!$B79,'Forecast Expenditure-Volumes'!M$92:M$104)/1000+SUMIF('Forecast Contributions'!$B$8:$B$20,'Gross Capex'!$B79,'Forecast Contributions'!M$8:M$20)/1000</f>
        <v>0</v>
      </c>
      <c r="P79" s="143"/>
      <c r="Q79" s="143"/>
      <c r="R79" s="143"/>
      <c r="S79" s="143"/>
      <c r="T79" s="143"/>
    </row>
    <row r="80" spans="1:20" x14ac:dyDescent="0.2">
      <c r="A80" s="143"/>
      <c r="B80" s="36">
        <v>205</v>
      </c>
      <c r="C80" s="33" t="s">
        <v>154</v>
      </c>
      <c r="D80" s="143"/>
      <c r="E80" s="143"/>
      <c r="F80" s="96">
        <f>SUMIF('Historical Expenditure-Volumes'!$B$9:$B$22,'Gross Capex'!$B80,'Historical Expenditure-Volumes'!E$9:E$22)/1000+SUMIF('Historical Contributions'!$B$8:$B$20,'Gross Capex'!$B80,'Historical Contributions'!D$8:D$20)/1000</f>
        <v>0</v>
      </c>
      <c r="G80" s="96">
        <f>SUMIF('Historical Expenditure-Volumes'!$B$9:$B$22,'Gross Capex'!$B80,'Historical Expenditure-Volumes'!F$9:F$22)/1000+SUMIF('Historical Contributions'!$B$8:$B$20,'Gross Capex'!$B80,'Historical Contributions'!E$8:E$20)/1000</f>
        <v>0</v>
      </c>
      <c r="H80" s="96">
        <f>SUMIF('Historical Expenditure-Volumes'!$B$9:$B$22,'Gross Capex'!$B80,'Historical Expenditure-Volumes'!G$9:G$22)/1000+SUMIF('Historical Contributions'!$B$8:$B$20,'Gross Capex'!$B80,'Historical Contributions'!F$8:F$20)/1000</f>
        <v>0</v>
      </c>
      <c r="I80" s="185">
        <f>SUMIF('Forecast Expenditure-Volumes'!$B$92:$B$104,'Gross Capex'!$B80,'Forecast Expenditure-Volumes'!G$92:G$104)/1000+SUMIF('Forecast Contributions'!$B$8:$B$20,'Gross Capex'!$B80,'Forecast Contributions'!G$8:G$20)/1000</f>
        <v>0</v>
      </c>
      <c r="J80" s="185">
        <f>SUMIF('Forecast Expenditure-Volumes'!$B$92:$B$104,'Gross Capex'!$B80,'Forecast Expenditure-Volumes'!H$92:H$104)/1000+SUMIF('Forecast Contributions'!$B$8:$B$20,'Gross Capex'!$B80,'Forecast Contributions'!H$8:H$20)/1000</f>
        <v>0</v>
      </c>
      <c r="K80" s="185">
        <f>SUMIF('Forecast Expenditure-Volumes'!$B$92:$B$104,'Gross Capex'!$B80,'Forecast Expenditure-Volumes'!I$92:I$104)/1000+SUMIF('Forecast Contributions'!$B$8:$B$20,'Gross Capex'!$B80,'Forecast Contributions'!I$8:I$20)/1000</f>
        <v>0</v>
      </c>
      <c r="L80" s="185">
        <f>SUMIF('Forecast Expenditure-Volumes'!$B$92:$B$104,'Gross Capex'!$B80,'Forecast Expenditure-Volumes'!J$92:J$104)/1000+SUMIF('Forecast Contributions'!$B$8:$B$20,'Gross Capex'!$B80,'Forecast Contributions'!J$8:J$20)/1000</f>
        <v>0</v>
      </c>
      <c r="M80" s="185">
        <f>SUMIF('Forecast Expenditure-Volumes'!$B$92:$B$104,'Gross Capex'!$B80,'Forecast Expenditure-Volumes'!K$92:K$104)/1000+SUMIF('Forecast Contributions'!$B$8:$B$20,'Gross Capex'!$B80,'Forecast Contributions'!K$8:K$20)/1000</f>
        <v>0</v>
      </c>
      <c r="N80" s="185">
        <f>SUMIF('Forecast Expenditure-Volumes'!$B$92:$B$104,'Gross Capex'!$B80,'Forecast Expenditure-Volumes'!L$92:L$104)/1000+SUMIF('Forecast Contributions'!$B$8:$B$20,'Gross Capex'!$B80,'Forecast Contributions'!L$8:L$20)/1000</f>
        <v>0</v>
      </c>
      <c r="O80" s="185">
        <f>SUMIF('Forecast Expenditure-Volumes'!$B$92:$B$104,'Gross Capex'!$B80,'Forecast Expenditure-Volumes'!M$92:M$104)/1000+SUMIF('Forecast Contributions'!$B$8:$B$20,'Gross Capex'!$B80,'Forecast Contributions'!M$8:M$20)/1000</f>
        <v>0</v>
      </c>
      <c r="P80" s="143"/>
      <c r="Q80" s="143"/>
      <c r="R80" s="143"/>
      <c r="S80" s="143"/>
      <c r="T80" s="143"/>
    </row>
    <row r="81" spans="1:20" x14ac:dyDescent="0.2">
      <c r="A81" s="143"/>
      <c r="B81" s="36">
        <v>210</v>
      </c>
      <c r="C81" s="33" t="s">
        <v>155</v>
      </c>
      <c r="D81" s="143"/>
      <c r="E81" s="143"/>
      <c r="F81" s="96">
        <f>SUMIF('Historical Expenditure-Volumes'!$B$9:$B$22,'Gross Capex'!$B81,'Historical Expenditure-Volumes'!E$9:E$22)/1000+SUMIF('Historical Contributions'!$B$8:$B$20,'Gross Capex'!$B81,'Historical Contributions'!D$8:D$20)/1000</f>
        <v>0</v>
      </c>
      <c r="G81" s="96">
        <f>SUMIF('Historical Expenditure-Volumes'!$B$9:$B$22,'Gross Capex'!$B81,'Historical Expenditure-Volumes'!F$9:F$22)/1000+SUMIF('Historical Contributions'!$B$8:$B$20,'Gross Capex'!$B81,'Historical Contributions'!E$8:E$20)/1000</f>
        <v>0</v>
      </c>
      <c r="H81" s="96">
        <f>SUMIF('Historical Expenditure-Volumes'!$B$9:$B$22,'Gross Capex'!$B81,'Historical Expenditure-Volumes'!G$9:G$22)/1000+SUMIF('Historical Contributions'!$B$8:$B$20,'Gross Capex'!$B81,'Historical Contributions'!F$8:F$20)/1000</f>
        <v>0</v>
      </c>
      <c r="I81" s="185">
        <f>SUMIF('Forecast Expenditure-Volumes'!$B$92:$B$104,'Gross Capex'!$B81,'Forecast Expenditure-Volumes'!G$92:G$104)/1000+SUMIF('Forecast Contributions'!$B$8:$B$20,'Gross Capex'!$B81,'Forecast Contributions'!G$8:G$20)/1000</f>
        <v>0</v>
      </c>
      <c r="J81" s="185">
        <f>SUMIF('Forecast Expenditure-Volumes'!$B$92:$B$104,'Gross Capex'!$B81,'Forecast Expenditure-Volumes'!H$92:H$104)/1000+SUMIF('Forecast Contributions'!$B$8:$B$20,'Gross Capex'!$B81,'Forecast Contributions'!H$8:H$20)/1000</f>
        <v>0</v>
      </c>
      <c r="K81" s="185">
        <f>SUMIF('Forecast Expenditure-Volumes'!$B$92:$B$104,'Gross Capex'!$B81,'Forecast Expenditure-Volumes'!I$92:I$104)/1000+SUMIF('Forecast Contributions'!$B$8:$B$20,'Gross Capex'!$B81,'Forecast Contributions'!I$8:I$20)/1000</f>
        <v>0</v>
      </c>
      <c r="L81" s="185">
        <f>SUMIF('Forecast Expenditure-Volumes'!$B$92:$B$104,'Gross Capex'!$B81,'Forecast Expenditure-Volumes'!J$92:J$104)/1000+SUMIF('Forecast Contributions'!$B$8:$B$20,'Gross Capex'!$B81,'Forecast Contributions'!J$8:J$20)/1000</f>
        <v>0</v>
      </c>
      <c r="M81" s="185">
        <f>SUMIF('Forecast Expenditure-Volumes'!$B$92:$B$104,'Gross Capex'!$B81,'Forecast Expenditure-Volumes'!K$92:K$104)/1000+SUMIF('Forecast Contributions'!$B$8:$B$20,'Gross Capex'!$B81,'Forecast Contributions'!K$8:K$20)/1000</f>
        <v>0</v>
      </c>
      <c r="N81" s="185">
        <f>SUMIF('Forecast Expenditure-Volumes'!$B$92:$B$104,'Gross Capex'!$B81,'Forecast Expenditure-Volumes'!L$92:L$104)/1000+SUMIF('Forecast Contributions'!$B$8:$B$20,'Gross Capex'!$B81,'Forecast Contributions'!L$8:L$20)/1000</f>
        <v>0</v>
      </c>
      <c r="O81" s="185">
        <f>SUMIF('Forecast Expenditure-Volumes'!$B$92:$B$104,'Gross Capex'!$B81,'Forecast Expenditure-Volumes'!M$92:M$104)/1000+SUMIF('Forecast Contributions'!$B$8:$B$20,'Gross Capex'!$B81,'Forecast Contributions'!M$8:M$20)/1000</f>
        <v>0</v>
      </c>
      <c r="P81" s="143"/>
      <c r="Q81" s="143"/>
      <c r="R81" s="143"/>
      <c r="S81" s="143"/>
      <c r="T81" s="143"/>
    </row>
    <row r="82" spans="1:20" x14ac:dyDescent="0.2">
      <c r="A82" s="143"/>
      <c r="B82" s="36">
        <v>215</v>
      </c>
      <c r="C82" s="33" t="s">
        <v>156</v>
      </c>
      <c r="D82" s="143"/>
      <c r="E82" s="143"/>
      <c r="F82" s="96">
        <f>SUMIF('Historical Expenditure-Volumes'!$B$9:$B$22,'Gross Capex'!$B82,'Historical Expenditure-Volumes'!E$9:E$22)/1000+SUMIF('Historical Contributions'!$B$8:$B$20,'Gross Capex'!$B82,'Historical Contributions'!D$8:D$20)/1000</f>
        <v>0</v>
      </c>
      <c r="G82" s="96">
        <f>SUMIF('Historical Expenditure-Volumes'!$B$9:$B$22,'Gross Capex'!$B82,'Historical Expenditure-Volumes'!F$9:F$22)/1000+SUMIF('Historical Contributions'!$B$8:$B$20,'Gross Capex'!$B82,'Historical Contributions'!E$8:E$20)/1000</f>
        <v>0</v>
      </c>
      <c r="H82" s="96">
        <f>SUMIF('Historical Expenditure-Volumes'!$B$9:$B$22,'Gross Capex'!$B82,'Historical Expenditure-Volumes'!G$9:G$22)/1000+SUMIF('Historical Contributions'!$B$8:$B$20,'Gross Capex'!$B82,'Historical Contributions'!F$8:F$20)/1000</f>
        <v>0</v>
      </c>
      <c r="I82" s="185">
        <f>SUMIF('Forecast Expenditure-Volumes'!$B$92:$B$104,'Gross Capex'!$B82,'Forecast Expenditure-Volumes'!G$92:G$104)/1000+SUMIF('Forecast Contributions'!$B$8:$B$20,'Gross Capex'!$B82,'Forecast Contributions'!G$8:G$20)/1000</f>
        <v>0</v>
      </c>
      <c r="J82" s="185">
        <f>SUMIF('Forecast Expenditure-Volumes'!$B$92:$B$104,'Gross Capex'!$B82,'Forecast Expenditure-Volumes'!H$92:H$104)/1000+SUMIF('Forecast Contributions'!$B$8:$B$20,'Gross Capex'!$B82,'Forecast Contributions'!H$8:H$20)/1000</f>
        <v>0</v>
      </c>
      <c r="K82" s="185">
        <f>SUMIF('Forecast Expenditure-Volumes'!$B$92:$B$104,'Gross Capex'!$B82,'Forecast Expenditure-Volumes'!I$92:I$104)/1000+SUMIF('Forecast Contributions'!$B$8:$B$20,'Gross Capex'!$B82,'Forecast Contributions'!I$8:I$20)/1000</f>
        <v>0</v>
      </c>
      <c r="L82" s="185">
        <f>SUMIF('Forecast Expenditure-Volumes'!$B$92:$B$104,'Gross Capex'!$B82,'Forecast Expenditure-Volumes'!J$92:J$104)/1000+SUMIF('Forecast Contributions'!$B$8:$B$20,'Gross Capex'!$B82,'Forecast Contributions'!J$8:J$20)/1000</f>
        <v>0</v>
      </c>
      <c r="M82" s="185">
        <f>SUMIF('Forecast Expenditure-Volumes'!$B$92:$B$104,'Gross Capex'!$B82,'Forecast Expenditure-Volumes'!K$92:K$104)/1000+SUMIF('Forecast Contributions'!$B$8:$B$20,'Gross Capex'!$B82,'Forecast Contributions'!K$8:K$20)/1000</f>
        <v>0</v>
      </c>
      <c r="N82" s="185">
        <f>SUMIF('Forecast Expenditure-Volumes'!$B$92:$B$104,'Gross Capex'!$B82,'Forecast Expenditure-Volumes'!L$92:L$104)/1000+SUMIF('Forecast Contributions'!$B$8:$B$20,'Gross Capex'!$B82,'Forecast Contributions'!L$8:L$20)/1000</f>
        <v>0</v>
      </c>
      <c r="O82" s="185">
        <f>SUMIF('Forecast Expenditure-Volumes'!$B$92:$B$104,'Gross Capex'!$B82,'Forecast Expenditure-Volumes'!M$92:M$104)/1000+SUMIF('Forecast Contributions'!$B$8:$B$20,'Gross Capex'!$B82,'Forecast Contributions'!M$8:M$20)/1000</f>
        <v>0</v>
      </c>
      <c r="P82" s="143"/>
      <c r="Q82" s="143"/>
      <c r="R82" s="143"/>
      <c r="S82" s="143"/>
      <c r="T82" s="143"/>
    </row>
    <row r="83" spans="1:20" x14ac:dyDescent="0.2">
      <c r="A83" s="143"/>
      <c r="B83" s="36">
        <v>220</v>
      </c>
      <c r="C83" s="33" t="s">
        <v>157</v>
      </c>
      <c r="D83" s="143"/>
      <c r="E83" s="143"/>
      <c r="F83" s="96">
        <f>SUMIF('Historical Expenditure-Volumes'!$B$9:$B$22,'Gross Capex'!$B83,'Historical Expenditure-Volumes'!E$9:E$22)/1000+SUMIF('Historical Contributions'!$B$8:$B$20,'Gross Capex'!$B83,'Historical Contributions'!D$8:D$20)/1000</f>
        <v>0</v>
      </c>
      <c r="G83" s="96">
        <f>SUMIF('Historical Expenditure-Volumes'!$B$9:$B$22,'Gross Capex'!$B83,'Historical Expenditure-Volumes'!F$9:F$22)/1000+SUMIF('Historical Contributions'!$B$8:$B$20,'Gross Capex'!$B83,'Historical Contributions'!E$8:E$20)/1000</f>
        <v>0</v>
      </c>
      <c r="H83" s="96">
        <f>SUMIF('Historical Expenditure-Volumes'!$B$9:$B$22,'Gross Capex'!$B83,'Historical Expenditure-Volumes'!G$9:G$22)/1000+SUMIF('Historical Contributions'!$B$8:$B$20,'Gross Capex'!$B83,'Historical Contributions'!F$8:F$20)/1000</f>
        <v>0</v>
      </c>
      <c r="I83" s="185">
        <f>SUMIF('Forecast Expenditure-Volumes'!$B$92:$B$104,'Gross Capex'!$B83,'Forecast Expenditure-Volumes'!G$92:G$104)/1000+SUMIF('Forecast Contributions'!$B$8:$B$20,'Gross Capex'!$B83,'Forecast Contributions'!G$8:G$20)/1000</f>
        <v>0</v>
      </c>
      <c r="J83" s="185">
        <f>SUMIF('Forecast Expenditure-Volumes'!$B$92:$B$104,'Gross Capex'!$B83,'Forecast Expenditure-Volumes'!H$92:H$104)/1000+SUMIF('Forecast Contributions'!$B$8:$B$20,'Gross Capex'!$B83,'Forecast Contributions'!H$8:H$20)/1000</f>
        <v>0</v>
      </c>
      <c r="K83" s="185">
        <f>SUMIF('Forecast Expenditure-Volumes'!$B$92:$B$104,'Gross Capex'!$B83,'Forecast Expenditure-Volumes'!I$92:I$104)/1000+SUMIF('Forecast Contributions'!$B$8:$B$20,'Gross Capex'!$B83,'Forecast Contributions'!I$8:I$20)/1000</f>
        <v>0</v>
      </c>
      <c r="L83" s="185">
        <f>SUMIF('Forecast Expenditure-Volumes'!$B$92:$B$104,'Gross Capex'!$B83,'Forecast Expenditure-Volumes'!J$92:J$104)/1000+SUMIF('Forecast Contributions'!$B$8:$B$20,'Gross Capex'!$B83,'Forecast Contributions'!J$8:J$20)/1000</f>
        <v>0</v>
      </c>
      <c r="M83" s="185">
        <f>SUMIF('Forecast Expenditure-Volumes'!$B$92:$B$104,'Gross Capex'!$B83,'Forecast Expenditure-Volumes'!K$92:K$104)/1000+SUMIF('Forecast Contributions'!$B$8:$B$20,'Gross Capex'!$B83,'Forecast Contributions'!K$8:K$20)/1000</f>
        <v>0</v>
      </c>
      <c r="N83" s="185">
        <f>SUMIF('Forecast Expenditure-Volumes'!$B$92:$B$104,'Gross Capex'!$B83,'Forecast Expenditure-Volumes'!L$92:L$104)/1000+SUMIF('Forecast Contributions'!$B$8:$B$20,'Gross Capex'!$B83,'Forecast Contributions'!L$8:L$20)/1000</f>
        <v>0</v>
      </c>
      <c r="O83" s="185">
        <f>SUMIF('Forecast Expenditure-Volumes'!$B$92:$B$104,'Gross Capex'!$B83,'Forecast Expenditure-Volumes'!M$92:M$104)/1000+SUMIF('Forecast Contributions'!$B$8:$B$20,'Gross Capex'!$B83,'Forecast Contributions'!M$8:M$20)/1000</f>
        <v>0</v>
      </c>
      <c r="P83" s="143"/>
      <c r="Q83" s="143"/>
      <c r="R83" s="143"/>
      <c r="S83" s="143"/>
      <c r="T83" s="143"/>
    </row>
    <row r="84" spans="1:20" x14ac:dyDescent="0.2">
      <c r="A84" s="143"/>
      <c r="B84" s="36">
        <v>225</v>
      </c>
      <c r="C84" s="33" t="s">
        <v>158</v>
      </c>
      <c r="D84" s="143"/>
      <c r="E84" s="143"/>
      <c r="F84" s="96">
        <f>SUMIF('Historical Expenditure-Volumes'!$B$9:$B$22,'Gross Capex'!$B84,'Historical Expenditure-Volumes'!E$9:E$22)/1000+SUMIF('Historical Contributions'!$B$8:$B$20,'Gross Capex'!$B84,'Historical Contributions'!D$8:D$20)/1000</f>
        <v>0</v>
      </c>
      <c r="G84" s="96">
        <f>SUMIF('Historical Expenditure-Volumes'!$B$9:$B$22,'Gross Capex'!$B84,'Historical Expenditure-Volumes'!F$9:F$22)/1000+SUMIF('Historical Contributions'!$B$8:$B$20,'Gross Capex'!$B84,'Historical Contributions'!E$8:E$20)/1000</f>
        <v>0</v>
      </c>
      <c r="H84" s="96">
        <f>SUMIF('Historical Expenditure-Volumes'!$B$9:$B$22,'Gross Capex'!$B84,'Historical Expenditure-Volumes'!G$9:G$22)/1000+SUMIF('Historical Contributions'!$B$8:$B$20,'Gross Capex'!$B84,'Historical Contributions'!F$8:F$20)/1000</f>
        <v>0</v>
      </c>
      <c r="I84" s="185">
        <f>SUMIF('Forecast Expenditure-Volumes'!$B$92:$B$104,'Gross Capex'!$B84,'Forecast Expenditure-Volumes'!G$92:G$104)/1000+SUMIF('Forecast Contributions'!$B$8:$B$20,'Gross Capex'!$B84,'Forecast Contributions'!G$8:G$20)/1000</f>
        <v>0</v>
      </c>
      <c r="J84" s="185">
        <f>SUMIF('Forecast Expenditure-Volumes'!$B$92:$B$104,'Gross Capex'!$B84,'Forecast Expenditure-Volumes'!H$92:H$104)/1000+SUMIF('Forecast Contributions'!$B$8:$B$20,'Gross Capex'!$B84,'Forecast Contributions'!H$8:H$20)/1000</f>
        <v>0</v>
      </c>
      <c r="K84" s="185">
        <f>SUMIF('Forecast Expenditure-Volumes'!$B$92:$B$104,'Gross Capex'!$B84,'Forecast Expenditure-Volumes'!I$92:I$104)/1000+SUMIF('Forecast Contributions'!$B$8:$B$20,'Gross Capex'!$B84,'Forecast Contributions'!I$8:I$20)/1000</f>
        <v>0</v>
      </c>
      <c r="L84" s="185">
        <f>SUMIF('Forecast Expenditure-Volumes'!$B$92:$B$104,'Gross Capex'!$B84,'Forecast Expenditure-Volumes'!J$92:J$104)/1000+SUMIF('Forecast Contributions'!$B$8:$B$20,'Gross Capex'!$B84,'Forecast Contributions'!J$8:J$20)/1000</f>
        <v>0</v>
      </c>
      <c r="M84" s="185">
        <f>SUMIF('Forecast Expenditure-Volumes'!$B$92:$B$104,'Gross Capex'!$B84,'Forecast Expenditure-Volumes'!K$92:K$104)/1000+SUMIF('Forecast Contributions'!$B$8:$B$20,'Gross Capex'!$B84,'Forecast Contributions'!K$8:K$20)/1000</f>
        <v>0</v>
      </c>
      <c r="N84" s="185">
        <f>SUMIF('Forecast Expenditure-Volumes'!$B$92:$B$104,'Gross Capex'!$B84,'Forecast Expenditure-Volumes'!L$92:L$104)/1000+SUMIF('Forecast Contributions'!$B$8:$B$20,'Gross Capex'!$B84,'Forecast Contributions'!L$8:L$20)/1000</f>
        <v>0</v>
      </c>
      <c r="O84" s="185">
        <f>SUMIF('Forecast Expenditure-Volumes'!$B$92:$B$104,'Gross Capex'!$B84,'Forecast Expenditure-Volumes'!M$92:M$104)/1000+SUMIF('Forecast Contributions'!$B$8:$B$20,'Gross Capex'!$B84,'Forecast Contributions'!M$8:M$20)/1000</f>
        <v>0</v>
      </c>
      <c r="P84" s="143"/>
      <c r="Q84" s="143"/>
      <c r="R84" s="143"/>
      <c r="S84" s="143"/>
      <c r="T84" s="143"/>
    </row>
    <row r="85" spans="1:20" x14ac:dyDescent="0.2">
      <c r="A85" s="143"/>
      <c r="B85" s="36">
        <v>230</v>
      </c>
      <c r="C85" s="33" t="s">
        <v>159</v>
      </c>
      <c r="D85" s="143"/>
      <c r="E85" s="143"/>
      <c r="F85" s="96">
        <f>SUMIF('Historical Expenditure-Volumes'!$B$9:$B$22,'Gross Capex'!$B85,'Historical Expenditure-Volumes'!E$9:E$22)/1000+SUMIF('Historical Contributions'!$B$8:$B$20,'Gross Capex'!$B85,'Historical Contributions'!D$8:D$20)/1000</f>
        <v>0</v>
      </c>
      <c r="G85" s="96">
        <f>SUMIF('Historical Expenditure-Volumes'!$B$9:$B$22,'Gross Capex'!$B85,'Historical Expenditure-Volumes'!F$9:F$22)/1000+SUMIF('Historical Contributions'!$B$8:$B$20,'Gross Capex'!$B85,'Historical Contributions'!E$8:E$20)/1000</f>
        <v>0</v>
      </c>
      <c r="H85" s="96">
        <f>SUMIF('Historical Expenditure-Volumes'!$B$9:$B$22,'Gross Capex'!$B85,'Historical Expenditure-Volumes'!G$9:G$22)/1000+SUMIF('Historical Contributions'!$B$8:$B$20,'Gross Capex'!$B85,'Historical Contributions'!F$8:F$20)/1000</f>
        <v>0</v>
      </c>
      <c r="I85" s="185">
        <f>SUMIF('Forecast Expenditure-Volumes'!$B$92:$B$104,'Gross Capex'!$B85,'Forecast Expenditure-Volumes'!G$92:G$104)/1000+SUMIF('Forecast Contributions'!$B$8:$B$20,'Gross Capex'!$B85,'Forecast Contributions'!G$8:G$20)/1000</f>
        <v>0</v>
      </c>
      <c r="J85" s="185">
        <f>SUMIF('Forecast Expenditure-Volumes'!$B$92:$B$104,'Gross Capex'!$B85,'Forecast Expenditure-Volumes'!H$92:H$104)/1000+SUMIF('Forecast Contributions'!$B$8:$B$20,'Gross Capex'!$B85,'Forecast Contributions'!H$8:H$20)/1000</f>
        <v>0</v>
      </c>
      <c r="K85" s="185">
        <f>SUMIF('Forecast Expenditure-Volumes'!$B$92:$B$104,'Gross Capex'!$B85,'Forecast Expenditure-Volumes'!I$92:I$104)/1000+SUMIF('Forecast Contributions'!$B$8:$B$20,'Gross Capex'!$B85,'Forecast Contributions'!I$8:I$20)/1000</f>
        <v>0</v>
      </c>
      <c r="L85" s="185">
        <f>SUMIF('Forecast Expenditure-Volumes'!$B$92:$B$104,'Gross Capex'!$B85,'Forecast Expenditure-Volumes'!J$92:J$104)/1000+SUMIF('Forecast Contributions'!$B$8:$B$20,'Gross Capex'!$B85,'Forecast Contributions'!J$8:J$20)/1000</f>
        <v>0</v>
      </c>
      <c r="M85" s="185">
        <f>SUMIF('Forecast Expenditure-Volumes'!$B$92:$B$104,'Gross Capex'!$B85,'Forecast Expenditure-Volumes'!K$92:K$104)/1000+SUMIF('Forecast Contributions'!$B$8:$B$20,'Gross Capex'!$B85,'Forecast Contributions'!K$8:K$20)/1000</f>
        <v>0</v>
      </c>
      <c r="N85" s="185">
        <f>SUMIF('Forecast Expenditure-Volumes'!$B$92:$B$104,'Gross Capex'!$B85,'Forecast Expenditure-Volumes'!L$92:L$104)/1000+SUMIF('Forecast Contributions'!$B$8:$B$20,'Gross Capex'!$B85,'Forecast Contributions'!L$8:L$20)/1000</f>
        <v>0</v>
      </c>
      <c r="O85" s="185">
        <f>SUMIF('Forecast Expenditure-Volumes'!$B$92:$B$104,'Gross Capex'!$B85,'Forecast Expenditure-Volumes'!M$92:M$104)/1000+SUMIF('Forecast Contributions'!$B$8:$B$20,'Gross Capex'!$B85,'Forecast Contributions'!M$8:M$20)/1000</f>
        <v>0</v>
      </c>
      <c r="P85" s="143"/>
      <c r="Q85" s="143"/>
      <c r="R85" s="143"/>
      <c r="S85" s="143"/>
      <c r="T85" s="143"/>
    </row>
    <row r="86" spans="1:20" x14ac:dyDescent="0.2">
      <c r="A86" s="143"/>
      <c r="B86" s="36">
        <v>235</v>
      </c>
      <c r="C86" s="33" t="s">
        <v>160</v>
      </c>
      <c r="D86" s="143"/>
      <c r="E86" s="143"/>
      <c r="F86" s="96">
        <f>SUMIF('Historical Expenditure-Volumes'!$B$9:$B$22,'Gross Capex'!$B86,'Historical Expenditure-Volumes'!E$9:E$22)/1000+SUMIF('Historical Contributions'!$B$8:$B$20,'Gross Capex'!$B86,'Historical Contributions'!D$8:D$20)/1000</f>
        <v>0</v>
      </c>
      <c r="G86" s="96">
        <f>SUMIF('Historical Expenditure-Volumes'!$B$9:$B$22,'Gross Capex'!$B86,'Historical Expenditure-Volumes'!F$9:F$22)/1000+SUMIF('Historical Contributions'!$B$8:$B$20,'Gross Capex'!$B86,'Historical Contributions'!E$8:E$20)/1000</f>
        <v>0</v>
      </c>
      <c r="H86" s="96">
        <f>SUMIF('Historical Expenditure-Volumes'!$B$9:$B$22,'Gross Capex'!$B86,'Historical Expenditure-Volumes'!G$9:G$22)/1000+SUMIF('Historical Contributions'!$B$8:$B$20,'Gross Capex'!$B86,'Historical Contributions'!F$8:F$20)/1000</f>
        <v>0</v>
      </c>
      <c r="I86" s="185">
        <f>SUMIF('Forecast Expenditure-Volumes'!$B$92:$B$104,'Gross Capex'!$B86,'Forecast Expenditure-Volumes'!G$92:G$104)/1000+SUMIF('Forecast Contributions'!$B$8:$B$20,'Gross Capex'!$B86,'Forecast Contributions'!G$8:G$20)/1000</f>
        <v>0</v>
      </c>
      <c r="J86" s="185">
        <f>SUMIF('Forecast Expenditure-Volumes'!$B$92:$B$104,'Gross Capex'!$B86,'Forecast Expenditure-Volumes'!H$92:H$104)/1000+SUMIF('Forecast Contributions'!$B$8:$B$20,'Gross Capex'!$B86,'Forecast Contributions'!H$8:H$20)/1000</f>
        <v>0</v>
      </c>
      <c r="K86" s="185">
        <f>SUMIF('Forecast Expenditure-Volumes'!$B$92:$B$104,'Gross Capex'!$B86,'Forecast Expenditure-Volumes'!I$92:I$104)/1000+SUMIF('Forecast Contributions'!$B$8:$B$20,'Gross Capex'!$B86,'Forecast Contributions'!I$8:I$20)/1000</f>
        <v>0</v>
      </c>
      <c r="L86" s="185">
        <f>SUMIF('Forecast Expenditure-Volumes'!$B$92:$B$104,'Gross Capex'!$B86,'Forecast Expenditure-Volumes'!J$92:J$104)/1000+SUMIF('Forecast Contributions'!$B$8:$B$20,'Gross Capex'!$B86,'Forecast Contributions'!J$8:J$20)/1000</f>
        <v>0</v>
      </c>
      <c r="M86" s="185">
        <f>SUMIF('Forecast Expenditure-Volumes'!$B$92:$B$104,'Gross Capex'!$B86,'Forecast Expenditure-Volumes'!K$92:K$104)/1000+SUMIF('Forecast Contributions'!$B$8:$B$20,'Gross Capex'!$B86,'Forecast Contributions'!K$8:K$20)/1000</f>
        <v>0</v>
      </c>
      <c r="N86" s="185">
        <f>SUMIF('Forecast Expenditure-Volumes'!$B$92:$B$104,'Gross Capex'!$B86,'Forecast Expenditure-Volumes'!L$92:L$104)/1000+SUMIF('Forecast Contributions'!$B$8:$B$20,'Gross Capex'!$B86,'Forecast Contributions'!L$8:L$20)/1000</f>
        <v>0</v>
      </c>
      <c r="O86" s="185">
        <f>SUMIF('Forecast Expenditure-Volumes'!$B$92:$B$104,'Gross Capex'!$B86,'Forecast Expenditure-Volumes'!M$92:M$104)/1000+SUMIF('Forecast Contributions'!$B$8:$B$20,'Gross Capex'!$B86,'Forecast Contributions'!M$8:M$20)/1000</f>
        <v>0</v>
      </c>
      <c r="P86" s="143"/>
      <c r="Q86" s="143"/>
      <c r="R86" s="143"/>
      <c r="S86" s="143"/>
      <c r="T86" s="143"/>
    </row>
    <row r="87" spans="1:20" x14ac:dyDescent="0.2">
      <c r="A87" s="143"/>
      <c r="B87" s="36">
        <v>240</v>
      </c>
      <c r="C87" s="33" t="s">
        <v>161</v>
      </c>
      <c r="D87" s="143"/>
      <c r="E87" s="143"/>
      <c r="F87" s="96">
        <f>SUMIF('Historical Expenditure-Volumes'!$B$9:$B$22,'Gross Capex'!$B87,'Historical Expenditure-Volumes'!E$9:E$22)/1000+SUMIF('Historical Contributions'!$B$8:$B$20,'Gross Capex'!$B87,'Historical Contributions'!D$8:D$20)/1000</f>
        <v>0</v>
      </c>
      <c r="G87" s="96">
        <f>SUMIF('Historical Expenditure-Volumes'!$B$9:$B$22,'Gross Capex'!$B87,'Historical Expenditure-Volumes'!F$9:F$22)/1000+SUMIF('Historical Contributions'!$B$8:$B$20,'Gross Capex'!$B87,'Historical Contributions'!E$8:E$20)/1000</f>
        <v>0</v>
      </c>
      <c r="H87" s="96">
        <f>SUMIF('Historical Expenditure-Volumes'!$B$9:$B$22,'Gross Capex'!$B87,'Historical Expenditure-Volumes'!G$9:G$22)/1000+SUMIF('Historical Contributions'!$B$8:$B$20,'Gross Capex'!$B87,'Historical Contributions'!F$8:F$20)/1000</f>
        <v>0</v>
      </c>
      <c r="I87" s="185">
        <f>SUMIF('Forecast Expenditure-Volumes'!$B$92:$B$104,'Gross Capex'!$B87,'Forecast Expenditure-Volumes'!G$92:G$104)/1000+SUMIF('Forecast Contributions'!$B$8:$B$20,'Gross Capex'!$B87,'Forecast Contributions'!G$8:G$20)/1000</f>
        <v>0</v>
      </c>
      <c r="J87" s="185">
        <f>SUMIF('Forecast Expenditure-Volumes'!$B$92:$B$104,'Gross Capex'!$B87,'Forecast Expenditure-Volumes'!H$92:H$104)/1000+SUMIF('Forecast Contributions'!$B$8:$B$20,'Gross Capex'!$B87,'Forecast Contributions'!H$8:H$20)/1000</f>
        <v>0</v>
      </c>
      <c r="K87" s="185">
        <f>SUMIF('Forecast Expenditure-Volumes'!$B$92:$B$104,'Gross Capex'!$B87,'Forecast Expenditure-Volumes'!I$92:I$104)/1000+SUMIF('Forecast Contributions'!$B$8:$B$20,'Gross Capex'!$B87,'Forecast Contributions'!I$8:I$20)/1000</f>
        <v>0</v>
      </c>
      <c r="L87" s="185">
        <f>SUMIF('Forecast Expenditure-Volumes'!$B$92:$B$104,'Gross Capex'!$B87,'Forecast Expenditure-Volumes'!J$92:J$104)/1000+SUMIF('Forecast Contributions'!$B$8:$B$20,'Gross Capex'!$B87,'Forecast Contributions'!J$8:J$20)/1000</f>
        <v>0</v>
      </c>
      <c r="M87" s="185">
        <f>SUMIF('Forecast Expenditure-Volumes'!$B$92:$B$104,'Gross Capex'!$B87,'Forecast Expenditure-Volumes'!K$92:K$104)/1000+SUMIF('Forecast Contributions'!$B$8:$B$20,'Gross Capex'!$B87,'Forecast Contributions'!K$8:K$20)/1000</f>
        <v>0</v>
      </c>
      <c r="N87" s="185">
        <f>SUMIF('Forecast Expenditure-Volumes'!$B$92:$B$104,'Gross Capex'!$B87,'Forecast Expenditure-Volumes'!L$92:L$104)/1000+SUMIF('Forecast Contributions'!$B$8:$B$20,'Gross Capex'!$B87,'Forecast Contributions'!L$8:L$20)/1000</f>
        <v>0</v>
      </c>
      <c r="O87" s="185">
        <f>SUMIF('Forecast Expenditure-Volumes'!$B$92:$B$104,'Gross Capex'!$B87,'Forecast Expenditure-Volumes'!M$92:M$104)/1000+SUMIF('Forecast Contributions'!$B$8:$B$20,'Gross Capex'!$B87,'Forecast Contributions'!M$8:M$20)/1000</f>
        <v>0</v>
      </c>
      <c r="P87" s="143"/>
      <c r="Q87" s="143"/>
      <c r="R87" s="143"/>
      <c r="S87" s="143"/>
      <c r="T87" s="143"/>
    </row>
    <row r="88" spans="1:20" x14ac:dyDescent="0.2">
      <c r="A88" s="143"/>
      <c r="B88" s="36">
        <v>245</v>
      </c>
      <c r="C88" s="33" t="s">
        <v>162</v>
      </c>
      <c r="D88" s="143"/>
      <c r="E88" s="143"/>
      <c r="F88" s="96">
        <f>SUMIF('Historical Expenditure-Volumes'!$B$9:$B$22,'Gross Capex'!$B88,'Historical Expenditure-Volumes'!E$9:E$22)/1000+SUMIF('Historical Contributions'!$B$8:$B$20,'Gross Capex'!$B88,'Historical Contributions'!D$8:D$20)/1000</f>
        <v>0</v>
      </c>
      <c r="G88" s="96">
        <f>SUMIF('Historical Expenditure-Volumes'!$B$9:$B$22,'Gross Capex'!$B88,'Historical Expenditure-Volumes'!F$9:F$22)/1000+SUMIF('Historical Contributions'!$B$8:$B$20,'Gross Capex'!$B88,'Historical Contributions'!E$8:E$20)/1000</f>
        <v>0</v>
      </c>
      <c r="H88" s="96">
        <f>SUMIF('Historical Expenditure-Volumes'!$B$9:$B$22,'Gross Capex'!$B88,'Historical Expenditure-Volumes'!G$9:G$22)/1000+SUMIF('Historical Contributions'!$B$8:$B$20,'Gross Capex'!$B88,'Historical Contributions'!F$8:F$20)/1000</f>
        <v>0</v>
      </c>
      <c r="I88" s="185">
        <f>SUMIF('Forecast Expenditure-Volumes'!$B$92:$B$104,'Gross Capex'!$B88,'Forecast Expenditure-Volumes'!G$92:G$104)/1000+SUMIF('Forecast Contributions'!$B$8:$B$20,'Gross Capex'!$B88,'Forecast Contributions'!G$8:G$20)/1000</f>
        <v>0</v>
      </c>
      <c r="J88" s="185">
        <f>SUMIF('Forecast Expenditure-Volumes'!$B$92:$B$104,'Gross Capex'!$B88,'Forecast Expenditure-Volumes'!H$92:H$104)/1000+SUMIF('Forecast Contributions'!$B$8:$B$20,'Gross Capex'!$B88,'Forecast Contributions'!H$8:H$20)/1000</f>
        <v>0</v>
      </c>
      <c r="K88" s="185">
        <f>SUMIF('Forecast Expenditure-Volumes'!$B$92:$B$104,'Gross Capex'!$B88,'Forecast Expenditure-Volumes'!I$92:I$104)/1000+SUMIF('Forecast Contributions'!$B$8:$B$20,'Gross Capex'!$B88,'Forecast Contributions'!I$8:I$20)/1000</f>
        <v>0</v>
      </c>
      <c r="L88" s="185">
        <f>SUMIF('Forecast Expenditure-Volumes'!$B$92:$B$104,'Gross Capex'!$B88,'Forecast Expenditure-Volumes'!J$92:J$104)/1000+SUMIF('Forecast Contributions'!$B$8:$B$20,'Gross Capex'!$B88,'Forecast Contributions'!J$8:J$20)/1000</f>
        <v>0</v>
      </c>
      <c r="M88" s="185">
        <f>SUMIF('Forecast Expenditure-Volumes'!$B$92:$B$104,'Gross Capex'!$B88,'Forecast Expenditure-Volumes'!K$92:K$104)/1000+SUMIF('Forecast Contributions'!$B$8:$B$20,'Gross Capex'!$B88,'Forecast Contributions'!K$8:K$20)/1000</f>
        <v>0</v>
      </c>
      <c r="N88" s="185">
        <f>SUMIF('Forecast Expenditure-Volumes'!$B$92:$B$104,'Gross Capex'!$B88,'Forecast Expenditure-Volumes'!L$92:L$104)/1000+SUMIF('Forecast Contributions'!$B$8:$B$20,'Gross Capex'!$B88,'Forecast Contributions'!L$8:L$20)/1000</f>
        <v>0</v>
      </c>
      <c r="O88" s="185">
        <f>SUMIF('Forecast Expenditure-Volumes'!$B$92:$B$104,'Gross Capex'!$B88,'Forecast Expenditure-Volumes'!M$92:M$104)/1000+SUMIF('Forecast Contributions'!$B$8:$B$20,'Gross Capex'!$B88,'Forecast Contributions'!M$8:M$20)/1000</f>
        <v>0</v>
      </c>
      <c r="P88" s="143"/>
      <c r="Q88" s="143"/>
      <c r="R88" s="143"/>
      <c r="S88" s="143"/>
      <c r="T88" s="143"/>
    </row>
    <row r="89" spans="1:20" x14ac:dyDescent="0.2">
      <c r="A89" s="143"/>
      <c r="B89" s="36">
        <v>260</v>
      </c>
      <c r="C89" s="33" t="s">
        <v>163</v>
      </c>
      <c r="D89" s="143"/>
      <c r="E89" s="143"/>
      <c r="F89" s="96">
        <f>SUMIF('Historical Expenditure-Volumes'!$B$9:$B$22,'Gross Capex'!$B89,'Historical Expenditure-Volumes'!E$9:E$22)/1000+SUMIF('Historical Contributions'!$B$8:$B$20,'Gross Capex'!$B89,'Historical Contributions'!D$8:D$20)/1000</f>
        <v>0</v>
      </c>
      <c r="G89" s="96">
        <f>SUMIF('Historical Expenditure-Volumes'!$B$9:$B$22,'Gross Capex'!$B89,'Historical Expenditure-Volumes'!F$9:F$22)/1000+SUMIF('Historical Contributions'!$B$8:$B$20,'Gross Capex'!$B89,'Historical Contributions'!E$8:E$20)/1000</f>
        <v>0</v>
      </c>
      <c r="H89" s="96">
        <f>SUMIF('Historical Expenditure-Volumes'!$B$9:$B$22,'Gross Capex'!$B89,'Historical Expenditure-Volumes'!G$9:G$22)/1000+SUMIF('Historical Contributions'!$B$8:$B$20,'Gross Capex'!$B89,'Historical Contributions'!F$8:F$20)/1000</f>
        <v>0</v>
      </c>
      <c r="I89" s="185">
        <f>SUMIF('Forecast Expenditure-Volumes'!$B$92:$B$104,'Gross Capex'!$B89,'Forecast Expenditure-Volumes'!G$92:G$104)/1000+SUMIF('Forecast Contributions'!$B$8:$B$20,'Gross Capex'!$B89,'Forecast Contributions'!G$8:G$20)/1000</f>
        <v>0</v>
      </c>
      <c r="J89" s="185">
        <f>SUMIF('Forecast Expenditure-Volumes'!$B$92:$B$104,'Gross Capex'!$B89,'Forecast Expenditure-Volumes'!H$92:H$104)/1000+SUMIF('Forecast Contributions'!$B$8:$B$20,'Gross Capex'!$B89,'Forecast Contributions'!H$8:H$20)/1000</f>
        <v>0</v>
      </c>
      <c r="K89" s="185">
        <f>SUMIF('Forecast Expenditure-Volumes'!$B$92:$B$104,'Gross Capex'!$B89,'Forecast Expenditure-Volumes'!I$92:I$104)/1000+SUMIF('Forecast Contributions'!$B$8:$B$20,'Gross Capex'!$B89,'Forecast Contributions'!I$8:I$20)/1000</f>
        <v>0</v>
      </c>
      <c r="L89" s="185">
        <f>SUMIF('Forecast Expenditure-Volumes'!$B$92:$B$104,'Gross Capex'!$B89,'Forecast Expenditure-Volumes'!J$92:J$104)/1000+SUMIF('Forecast Contributions'!$B$8:$B$20,'Gross Capex'!$B89,'Forecast Contributions'!J$8:J$20)/1000</f>
        <v>0</v>
      </c>
      <c r="M89" s="185">
        <f>SUMIF('Forecast Expenditure-Volumes'!$B$92:$B$104,'Gross Capex'!$B89,'Forecast Expenditure-Volumes'!K$92:K$104)/1000+SUMIF('Forecast Contributions'!$B$8:$B$20,'Gross Capex'!$B89,'Forecast Contributions'!K$8:K$20)/1000</f>
        <v>0</v>
      </c>
      <c r="N89" s="185">
        <f>SUMIF('Forecast Expenditure-Volumes'!$B$92:$B$104,'Gross Capex'!$B89,'Forecast Expenditure-Volumes'!L$92:L$104)/1000+SUMIF('Forecast Contributions'!$B$8:$B$20,'Gross Capex'!$B89,'Forecast Contributions'!L$8:L$20)/1000</f>
        <v>0</v>
      </c>
      <c r="O89" s="185">
        <f>SUMIF('Forecast Expenditure-Volumes'!$B$92:$B$104,'Gross Capex'!$B89,'Forecast Expenditure-Volumes'!M$92:M$104)/1000+SUMIF('Forecast Contributions'!$B$8:$B$20,'Gross Capex'!$B89,'Forecast Contributions'!M$8:M$20)/1000</f>
        <v>0</v>
      </c>
      <c r="P89" s="143"/>
      <c r="Q89" s="143"/>
      <c r="R89" s="143"/>
      <c r="S89" s="143"/>
      <c r="T89" s="143"/>
    </row>
    <row r="90" spans="1:20" x14ac:dyDescent="0.2">
      <c r="A90" s="143"/>
      <c r="B90" s="36">
        <v>270</v>
      </c>
      <c r="C90" s="33" t="s">
        <v>164</v>
      </c>
      <c r="D90" s="143"/>
      <c r="E90" s="143"/>
      <c r="F90" s="96">
        <f>SUMIF('Historical Expenditure-Volumes'!$B$9:$B$22,'Gross Capex'!$B90,'Historical Expenditure-Volumes'!E$9:E$22)/1000+SUMIF('Historical Contributions'!$B$8:$B$20,'Gross Capex'!$B90,'Historical Contributions'!D$8:D$20)/1000</f>
        <v>0</v>
      </c>
      <c r="G90" s="96">
        <f>SUMIF('Historical Expenditure-Volumes'!$B$9:$B$22,'Gross Capex'!$B90,'Historical Expenditure-Volumes'!F$9:F$22)/1000+SUMIF('Historical Contributions'!$B$8:$B$20,'Gross Capex'!$B90,'Historical Contributions'!E$8:E$20)/1000</f>
        <v>0</v>
      </c>
      <c r="H90" s="96">
        <f>SUMIF('Historical Expenditure-Volumes'!$B$9:$B$22,'Gross Capex'!$B90,'Historical Expenditure-Volumes'!G$9:G$22)/1000+SUMIF('Historical Contributions'!$B$8:$B$20,'Gross Capex'!$B90,'Historical Contributions'!F$8:F$20)/1000</f>
        <v>0</v>
      </c>
      <c r="I90" s="185">
        <f>SUMIF('Forecast Expenditure-Volumes'!$B$92:$B$104,'Gross Capex'!$B90,'Forecast Expenditure-Volumes'!G$92:G$104)/1000+SUMIF('Forecast Contributions'!$B$8:$B$20,'Gross Capex'!$B90,'Forecast Contributions'!G$8:G$20)/1000</f>
        <v>0</v>
      </c>
      <c r="J90" s="185">
        <f>SUMIF('Forecast Expenditure-Volumes'!$B$92:$B$104,'Gross Capex'!$B90,'Forecast Expenditure-Volumes'!H$92:H$104)/1000+SUMIF('Forecast Contributions'!$B$8:$B$20,'Gross Capex'!$B90,'Forecast Contributions'!H$8:H$20)/1000</f>
        <v>0</v>
      </c>
      <c r="K90" s="185">
        <f>SUMIF('Forecast Expenditure-Volumes'!$B$92:$B$104,'Gross Capex'!$B90,'Forecast Expenditure-Volumes'!I$92:I$104)/1000+SUMIF('Forecast Contributions'!$B$8:$B$20,'Gross Capex'!$B90,'Forecast Contributions'!I$8:I$20)/1000</f>
        <v>0</v>
      </c>
      <c r="L90" s="185">
        <f>SUMIF('Forecast Expenditure-Volumes'!$B$92:$B$104,'Gross Capex'!$B90,'Forecast Expenditure-Volumes'!J$92:J$104)/1000+SUMIF('Forecast Contributions'!$B$8:$B$20,'Gross Capex'!$B90,'Forecast Contributions'!J$8:J$20)/1000</f>
        <v>0</v>
      </c>
      <c r="M90" s="185">
        <f>SUMIF('Forecast Expenditure-Volumes'!$B$92:$B$104,'Gross Capex'!$B90,'Forecast Expenditure-Volumes'!K$92:K$104)/1000+SUMIF('Forecast Contributions'!$B$8:$B$20,'Gross Capex'!$B90,'Forecast Contributions'!K$8:K$20)/1000</f>
        <v>0</v>
      </c>
      <c r="N90" s="185">
        <f>SUMIF('Forecast Expenditure-Volumes'!$B$92:$B$104,'Gross Capex'!$B90,'Forecast Expenditure-Volumes'!L$92:L$104)/1000+SUMIF('Forecast Contributions'!$B$8:$B$20,'Gross Capex'!$B90,'Forecast Contributions'!L$8:L$20)/1000</f>
        <v>0</v>
      </c>
      <c r="O90" s="185">
        <f>SUMIF('Forecast Expenditure-Volumes'!$B$92:$B$104,'Gross Capex'!$B90,'Forecast Expenditure-Volumes'!M$92:M$104)/1000+SUMIF('Forecast Contributions'!$B$8:$B$20,'Gross Capex'!$B90,'Forecast Contributions'!M$8:M$20)/1000</f>
        <v>0</v>
      </c>
      <c r="P90" s="143"/>
      <c r="Q90" s="143"/>
      <c r="R90" s="143"/>
      <c r="S90" s="143"/>
      <c r="T90" s="143"/>
    </row>
    <row r="91" spans="1:20" x14ac:dyDescent="0.2">
      <c r="A91" s="143"/>
      <c r="B91" s="36">
        <v>273</v>
      </c>
      <c r="C91" s="33" t="s">
        <v>165</v>
      </c>
      <c r="D91" s="143"/>
      <c r="E91" s="143"/>
      <c r="F91" s="96">
        <f>SUMIF('Historical Expenditure-Volumes'!$B$9:$B$22,'Gross Capex'!$B91,'Historical Expenditure-Volumes'!E$9:E$22)/1000+SUMIF('Historical Contributions'!$B$8:$B$20,'Gross Capex'!$B91,'Historical Contributions'!D$8:D$20)/1000</f>
        <v>0</v>
      </c>
      <c r="G91" s="96">
        <f>SUMIF('Historical Expenditure-Volumes'!$B$9:$B$22,'Gross Capex'!$B91,'Historical Expenditure-Volumes'!F$9:F$22)/1000+SUMIF('Historical Contributions'!$B$8:$B$20,'Gross Capex'!$B91,'Historical Contributions'!E$8:E$20)/1000</f>
        <v>0</v>
      </c>
      <c r="H91" s="96">
        <f>SUMIF('Historical Expenditure-Volumes'!$B$9:$B$22,'Gross Capex'!$B91,'Historical Expenditure-Volumes'!G$9:G$22)/1000+SUMIF('Historical Contributions'!$B$8:$B$20,'Gross Capex'!$B91,'Historical Contributions'!F$8:F$20)/1000</f>
        <v>0</v>
      </c>
      <c r="I91" s="185">
        <f>SUMIF('Forecast Expenditure-Volumes'!$B$92:$B$104,'Gross Capex'!$B91,'Forecast Expenditure-Volumes'!G$92:G$104)/1000+SUMIF('Forecast Contributions'!$B$8:$B$20,'Gross Capex'!$B91,'Forecast Contributions'!G$8:G$20)/1000</f>
        <v>0</v>
      </c>
      <c r="J91" s="185">
        <f>SUMIF('Forecast Expenditure-Volumes'!$B$92:$B$104,'Gross Capex'!$B91,'Forecast Expenditure-Volumes'!H$92:H$104)/1000+SUMIF('Forecast Contributions'!$B$8:$B$20,'Gross Capex'!$B91,'Forecast Contributions'!H$8:H$20)/1000</f>
        <v>0</v>
      </c>
      <c r="K91" s="185">
        <f>SUMIF('Forecast Expenditure-Volumes'!$B$92:$B$104,'Gross Capex'!$B91,'Forecast Expenditure-Volumes'!I$92:I$104)/1000+SUMIF('Forecast Contributions'!$B$8:$B$20,'Gross Capex'!$B91,'Forecast Contributions'!I$8:I$20)/1000</f>
        <v>0</v>
      </c>
      <c r="L91" s="185">
        <f>SUMIF('Forecast Expenditure-Volumes'!$B$92:$B$104,'Gross Capex'!$B91,'Forecast Expenditure-Volumes'!J$92:J$104)/1000+SUMIF('Forecast Contributions'!$B$8:$B$20,'Gross Capex'!$B91,'Forecast Contributions'!J$8:J$20)/1000</f>
        <v>0</v>
      </c>
      <c r="M91" s="185">
        <f>SUMIF('Forecast Expenditure-Volumes'!$B$92:$B$104,'Gross Capex'!$B91,'Forecast Expenditure-Volumes'!K$92:K$104)/1000+SUMIF('Forecast Contributions'!$B$8:$B$20,'Gross Capex'!$B91,'Forecast Contributions'!K$8:K$20)/1000</f>
        <v>0</v>
      </c>
      <c r="N91" s="185">
        <f>SUMIF('Forecast Expenditure-Volumes'!$B$92:$B$104,'Gross Capex'!$B91,'Forecast Expenditure-Volumes'!L$92:L$104)/1000+SUMIF('Forecast Contributions'!$B$8:$B$20,'Gross Capex'!$B91,'Forecast Contributions'!L$8:L$20)/1000</f>
        <v>0</v>
      </c>
      <c r="O91" s="185">
        <f>SUMIF('Forecast Expenditure-Volumes'!$B$92:$B$104,'Gross Capex'!$B91,'Forecast Expenditure-Volumes'!M$92:M$104)/1000+SUMIF('Forecast Contributions'!$B$8:$B$20,'Gross Capex'!$B91,'Forecast Contributions'!M$8:M$20)/1000</f>
        <v>0</v>
      </c>
      <c r="P91" s="143"/>
      <c r="Q91" s="143"/>
      <c r="R91" s="143"/>
      <c r="S91" s="143"/>
      <c r="T91" s="143"/>
    </row>
    <row r="92" spans="1:20" x14ac:dyDescent="0.2">
      <c r="A92" s="143"/>
      <c r="B92" s="143"/>
      <c r="C92" s="143"/>
      <c r="D92" s="143"/>
      <c r="E92" s="143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143"/>
      <c r="Q92" s="143"/>
      <c r="R92" s="143"/>
      <c r="S92" s="143"/>
      <c r="T92" s="143"/>
    </row>
    <row r="93" spans="1:20" x14ac:dyDescent="0.2">
      <c r="A93" s="143"/>
      <c r="B93" s="36" t="s">
        <v>228</v>
      </c>
      <c r="C93" s="33" t="s">
        <v>218</v>
      </c>
      <c r="D93" s="143"/>
      <c r="E93" s="143"/>
      <c r="F93" s="96">
        <f>'Forecast Contributions'!D108/1000</f>
        <v>48786.485543009221</v>
      </c>
      <c r="G93" s="96">
        <f>'Forecast Contributions'!E108/1000</f>
        <v>52240.490442264439</v>
      </c>
      <c r="H93" s="185">
        <f>'Forecast Contributions'!F108/1000</f>
        <v>54339.967832131297</v>
      </c>
      <c r="I93" s="185">
        <f ca="1">'Forecast Contributions'!G108/1000</f>
        <v>64721.412304255733</v>
      </c>
      <c r="J93" s="185">
        <f ca="1">'Forecast Contributions'!H108/1000</f>
        <v>60452.696554283495</v>
      </c>
      <c r="K93" s="185">
        <f ca="1">'Forecast Contributions'!I108/1000</f>
        <v>52737.232456982558</v>
      </c>
      <c r="L93" s="185">
        <f ca="1">'Forecast Contributions'!J108/1000</f>
        <v>57731.262194584851</v>
      </c>
      <c r="M93" s="185">
        <f ca="1">'Forecast Contributions'!K108/1000</f>
        <v>50077.357811339694</v>
      </c>
      <c r="N93" s="185">
        <f ca="1">'Forecast Contributions'!L108/1000</f>
        <v>48585.61132711581</v>
      </c>
      <c r="O93" s="185">
        <f ca="1">'Forecast Contributions'!M108/1000</f>
        <v>48905.567384731483</v>
      </c>
      <c r="P93" s="143"/>
      <c r="Q93" s="143"/>
      <c r="R93" s="143"/>
      <c r="S93" s="143"/>
      <c r="T93" s="143"/>
    </row>
    <row r="94" spans="1:20" x14ac:dyDescent="0.2">
      <c r="A94" s="143"/>
      <c r="B94" s="36" t="s">
        <v>228</v>
      </c>
      <c r="C94" s="33" t="s">
        <v>347</v>
      </c>
      <c r="D94" s="143"/>
      <c r="E94" s="143"/>
      <c r="F94" s="96">
        <f>'Historical Contributions'!D21/1000</f>
        <v>3225.7870000000003</v>
      </c>
      <c r="G94" s="96">
        <f>'Historical Contributions'!E21/1000</f>
        <v>291.58449999999999</v>
      </c>
      <c r="H94" s="96">
        <f>'Historical Contributions'!F21/1000</f>
        <v>142.76603638938053</v>
      </c>
      <c r="I94" s="185">
        <f>'Forecast Contributions'!G21/1000</f>
        <v>1316.2333123694523</v>
      </c>
      <c r="J94" s="185">
        <f>'Forecast Contributions'!H21/1000</f>
        <v>1316.2333123694523</v>
      </c>
      <c r="K94" s="185">
        <f>'Forecast Contributions'!I21/1000</f>
        <v>1312.5969697704882</v>
      </c>
      <c r="L94" s="185">
        <f>'Forecast Contributions'!J21/1000</f>
        <v>1316.2333123694523</v>
      </c>
      <c r="M94" s="185">
        <f>'Forecast Contributions'!K21/1000</f>
        <v>1316.2333123694523</v>
      </c>
      <c r="N94" s="185">
        <f>'Forecast Contributions'!L21/1000</f>
        <v>1316.2333123694523</v>
      </c>
      <c r="O94" s="185">
        <f>'Forecast Contributions'!M21/1000</f>
        <v>1316.2333123694523</v>
      </c>
      <c r="P94" s="143"/>
      <c r="Q94" s="143"/>
      <c r="R94" s="143"/>
      <c r="S94" s="143"/>
      <c r="T94" s="143"/>
    </row>
    <row r="95" spans="1:20" ht="15.75" x14ac:dyDescent="0.25">
      <c r="A95" s="143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28"/>
      <c r="R95" s="143"/>
      <c r="S95" s="143"/>
      <c r="T95" s="143"/>
    </row>
    <row r="96" spans="1:20" ht="15.75" x14ac:dyDescent="0.25">
      <c r="A96" s="28"/>
      <c r="B96" s="28" t="s">
        <v>307</v>
      </c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143"/>
    </row>
    <row r="97" spans="1:17" x14ac:dyDescent="0.2">
      <c r="A97" s="143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1:17" x14ac:dyDescent="0.2">
      <c r="A98" s="143"/>
      <c r="B98" s="143"/>
      <c r="C98" s="143" t="s">
        <v>231</v>
      </c>
      <c r="D98" s="143"/>
      <c r="E98" s="143"/>
      <c r="F98" s="187">
        <f>SUM(F8:F91)*1000-'Historical Expenditure-Volumes'!E23-'Historical Contributions'!D21</f>
        <v>1.4435499906539917E-8</v>
      </c>
      <c r="G98" s="187">
        <f>SUM(G8:G91)*1000-'Historical Expenditure-Volumes'!F23-'Historical Contributions'!E21</f>
        <v>-1.4901161193847656E-8</v>
      </c>
      <c r="H98" s="187">
        <f>SUM(H8:H91)*1000-'Historical Expenditure-Volumes'!G23-'Historical Contributions'!F21</f>
        <v>1.5075784176588058E-8</v>
      </c>
      <c r="I98" s="187">
        <f ca="1">(SUM(I8:I91)*1000)-SUM('Expenditure &amp; Volume Output'!I7:I21,'Forecast Contributions'!G8:G20)</f>
        <v>0</v>
      </c>
      <c r="J98" s="188">
        <f ca="1">(SUM(J8:J91)*1000)-SUM('Expenditure &amp; Volume Output'!J7:J21,'Forecast Contributions'!H8:H20)</f>
        <v>0</v>
      </c>
      <c r="K98" s="188">
        <f ca="1">(SUM(K8:K91)*1000)-SUM('Expenditure &amp; Volume Output'!K7:K21,'Forecast Contributions'!I8:I20)</f>
        <v>0</v>
      </c>
      <c r="L98" s="188">
        <f ca="1">(SUM(L8:L91)*1000)-SUM('Expenditure &amp; Volume Output'!L7:L21,'Forecast Contributions'!J8:J20)</f>
        <v>0</v>
      </c>
      <c r="M98" s="188">
        <f ca="1">(SUM(M8:M91)*1000)-SUM('Expenditure &amp; Volume Output'!M7:M21,'Forecast Contributions'!K8:K20)</f>
        <v>0</v>
      </c>
      <c r="N98" s="188">
        <f ca="1">(SUM(N8:N91)*1000)-SUM('Expenditure &amp; Volume Output'!N7:N21,'Forecast Contributions'!L8:L20)</f>
        <v>0</v>
      </c>
      <c r="O98" s="188">
        <f ca="1">(SUM(O8:O91)*1000)-SUM('Expenditure &amp; Volume Output'!O7:O21,'Forecast Contributions'!M8:M20)</f>
        <v>0</v>
      </c>
      <c r="P98" s="143"/>
      <c r="Q98" s="143"/>
    </row>
    <row r="99" spans="1:17" x14ac:dyDescent="0.2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1:17" hidden="1" x14ac:dyDescent="0.2">
      <c r="A100" s="143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1:17" hidden="1" x14ac:dyDescent="0.2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1:17" hidden="1" x14ac:dyDescent="0.2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1:17" hidden="1" x14ac:dyDescent="0.2">
      <c r="A103" s="143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1:17" hidden="1" x14ac:dyDescent="0.2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1:17" hidden="1" x14ac:dyDescent="0.2">
      <c r="A105" s="143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</sheetData>
  <mergeCells count="2">
    <mergeCell ref="B6:B7"/>
    <mergeCell ref="C6:C7"/>
  </mergeCells>
  <conditionalFormatting sqref="O2">
    <cfRule type="expression" dxfId="2" priority="1">
      <formula>O2="Check!"</formula>
    </cfRule>
  </conditionalFormatting>
  <hyperlinks>
    <hyperlink ref="O1" location="Menu!A1" display="Menu" xr:uid="{00000000-0004-0000-0F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</sheetPr>
  <dimension ref="A1:N52"/>
  <sheetViews>
    <sheetView workbookViewId="0"/>
  </sheetViews>
  <sheetFormatPr defaultColWidth="0" defaultRowHeight="0" customHeight="1" zeroHeight="1" x14ac:dyDescent="0.2"/>
  <cols>
    <col min="1" max="1" width="5.28515625" style="27" customWidth="1"/>
    <col min="2" max="2" width="13.140625" style="27" customWidth="1"/>
    <col min="3" max="3" width="13.5703125" style="27" customWidth="1"/>
    <col min="4" max="4" width="9.140625" style="27" customWidth="1"/>
    <col min="5" max="6" width="12.7109375" style="27" customWidth="1"/>
    <col min="7" max="7" width="9.5703125" style="27" customWidth="1"/>
    <col min="8" max="8" width="13.7109375" style="27" customWidth="1"/>
    <col min="9" max="9" width="13.85546875" style="27" customWidth="1"/>
    <col min="10" max="11" width="10.28515625" style="27" customWidth="1"/>
    <col min="12" max="14" width="0" style="27" hidden="1" customWidth="1"/>
    <col min="15" max="16384" width="10.28515625" style="27" hidden="1"/>
  </cols>
  <sheetData>
    <row r="1" spans="1:14" ht="18" x14ac:dyDescent="0.25">
      <c r="A1" s="26" t="s">
        <v>383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.75" x14ac:dyDescent="0.25">
      <c r="A2" s="28" t="str">
        <f ca="1">RIGHT(CELL("filename", $A$1), LEN(CELL("filename", $A$1)) - SEARCH("]", CELL("filename", $A$1)))</f>
        <v>Menu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2.75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2.75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8" x14ac:dyDescent="0.25">
      <c r="A5" s="29"/>
      <c r="B5" s="273" t="s">
        <v>37</v>
      </c>
      <c r="C5" s="273"/>
      <c r="D5" s="32"/>
      <c r="E5" s="274" t="s">
        <v>40</v>
      </c>
      <c r="F5" s="274"/>
      <c r="G5" s="32"/>
      <c r="H5" s="272" t="s">
        <v>41</v>
      </c>
      <c r="I5" s="272"/>
      <c r="J5" s="29"/>
      <c r="K5" s="29"/>
      <c r="L5" s="29"/>
      <c r="M5" s="29"/>
      <c r="N5" s="29"/>
    </row>
    <row r="6" spans="1:14" ht="12.75" x14ac:dyDescent="0.2">
      <c r="A6" s="29"/>
      <c r="B6" s="270" t="s">
        <v>38</v>
      </c>
      <c r="C6" s="270"/>
      <c r="D6" s="31"/>
      <c r="E6" s="270"/>
      <c r="F6" s="270"/>
      <c r="G6" s="31"/>
      <c r="H6" s="270" t="s">
        <v>169</v>
      </c>
      <c r="I6" s="270"/>
      <c r="J6" s="39"/>
      <c r="K6" s="29"/>
      <c r="L6" s="29"/>
      <c r="M6" s="29"/>
      <c r="N6" s="29"/>
    </row>
    <row r="7" spans="1:14" ht="12.75" x14ac:dyDescent="0.2">
      <c r="A7" s="29"/>
      <c r="B7" s="270" t="s">
        <v>39</v>
      </c>
      <c r="C7" s="270"/>
      <c r="D7" s="31"/>
      <c r="E7" s="270"/>
      <c r="F7" s="270"/>
      <c r="G7" s="31"/>
      <c r="H7" s="270" t="s">
        <v>321</v>
      </c>
      <c r="I7" s="270"/>
      <c r="J7" s="39" t="str">
        <f>'Historical Expenditure-Volumes'!K2</f>
        <v>OK</v>
      </c>
      <c r="K7" s="29"/>
      <c r="L7" s="29"/>
      <c r="M7" s="29"/>
      <c r="N7" s="29"/>
    </row>
    <row r="8" spans="1:14" ht="12.75" x14ac:dyDescent="0.2">
      <c r="A8" s="29"/>
      <c r="B8" s="270"/>
      <c r="C8" s="270"/>
      <c r="D8" s="31"/>
      <c r="E8" s="271"/>
      <c r="F8" s="271"/>
      <c r="G8" s="31"/>
      <c r="H8" s="270" t="s">
        <v>226</v>
      </c>
      <c r="I8" s="270"/>
      <c r="J8" s="39" t="str">
        <f>'Historical Contributions'!F2</f>
        <v>OK</v>
      </c>
      <c r="K8" s="29"/>
      <c r="L8" s="29"/>
      <c r="M8" s="29"/>
      <c r="N8" s="29"/>
    </row>
    <row r="9" spans="1:14" ht="12.75" x14ac:dyDescent="0.2">
      <c r="A9" s="29"/>
      <c r="B9" s="270"/>
      <c r="C9" s="270"/>
      <c r="D9" s="31"/>
      <c r="E9" s="271"/>
      <c r="F9" s="271"/>
      <c r="G9" s="31"/>
      <c r="H9" s="270" t="s">
        <v>320</v>
      </c>
      <c r="I9" s="270"/>
      <c r="J9" s="29"/>
      <c r="K9" s="29"/>
      <c r="L9" s="29"/>
      <c r="M9" s="29"/>
      <c r="N9" s="29"/>
    </row>
    <row r="10" spans="1:14" ht="12.75" x14ac:dyDescent="0.2">
      <c r="A10" s="29"/>
      <c r="B10" s="270"/>
      <c r="C10" s="270"/>
      <c r="D10" s="31"/>
      <c r="E10" s="271"/>
      <c r="F10" s="271"/>
      <c r="G10" s="31"/>
      <c r="H10" s="270" t="s">
        <v>170</v>
      </c>
      <c r="I10" s="270"/>
      <c r="J10" s="39"/>
      <c r="K10" s="29"/>
      <c r="L10" s="29"/>
      <c r="M10" s="29"/>
      <c r="N10" s="29"/>
    </row>
    <row r="11" spans="1:14" ht="12.75" x14ac:dyDescent="0.2">
      <c r="A11" s="29"/>
      <c r="B11" s="32"/>
      <c r="C11" s="32"/>
      <c r="D11" s="32"/>
      <c r="E11" s="32"/>
      <c r="F11" s="32"/>
      <c r="G11" s="32"/>
      <c r="H11" s="169"/>
      <c r="I11" s="169"/>
      <c r="J11" s="39"/>
      <c r="K11" s="29"/>
      <c r="L11" s="29"/>
      <c r="M11" s="29"/>
      <c r="N11" s="29"/>
    </row>
    <row r="12" spans="1:14" ht="12.75" x14ac:dyDescent="0.2">
      <c r="A12" s="29"/>
      <c r="B12" s="32"/>
      <c r="C12" s="32"/>
      <c r="D12" s="32"/>
      <c r="E12" s="32"/>
      <c r="F12" s="32"/>
      <c r="G12" s="32"/>
      <c r="H12" s="169"/>
      <c r="I12" s="169"/>
      <c r="J12" s="29"/>
      <c r="K12" s="29"/>
      <c r="L12" s="29"/>
      <c r="M12" s="29"/>
      <c r="N12" s="29"/>
    </row>
    <row r="13" spans="1:14" ht="18" x14ac:dyDescent="0.25">
      <c r="A13" s="29"/>
      <c r="B13" s="275" t="s">
        <v>42</v>
      </c>
      <c r="C13" s="276"/>
      <c r="D13" s="45"/>
      <c r="E13" s="277" t="s">
        <v>43</v>
      </c>
      <c r="F13" s="277"/>
      <c r="G13" s="32"/>
      <c r="H13" s="278" t="s">
        <v>355</v>
      </c>
      <c r="I13" s="278"/>
      <c r="J13" s="29"/>
      <c r="K13" s="29"/>
      <c r="L13" s="29"/>
      <c r="M13" s="29"/>
      <c r="N13" s="29"/>
    </row>
    <row r="14" spans="1:14" ht="12.75" x14ac:dyDescent="0.2">
      <c r="A14" s="29"/>
      <c r="B14" s="270" t="s">
        <v>175</v>
      </c>
      <c r="C14" s="270"/>
      <c r="D14" s="39" t="str">
        <f>'Function Code Mapping'!D2</f>
        <v>OK</v>
      </c>
      <c r="E14" s="270"/>
      <c r="F14" s="270"/>
      <c r="H14" s="236" t="s">
        <v>356</v>
      </c>
      <c r="I14" s="237"/>
      <c r="J14" s="29"/>
      <c r="K14" s="29"/>
      <c r="L14" s="29"/>
      <c r="M14" s="29"/>
      <c r="N14" s="29"/>
    </row>
    <row r="15" spans="1:14" ht="12.75" x14ac:dyDescent="0.2">
      <c r="A15" s="29"/>
      <c r="B15" s="270" t="s">
        <v>215</v>
      </c>
      <c r="C15" s="270"/>
      <c r="E15" s="270" t="s">
        <v>308</v>
      </c>
      <c r="F15" s="270"/>
      <c r="G15" s="39" t="str">
        <f ca="1">'Expenditure &amp; Volume Output'!O2</f>
        <v>OK</v>
      </c>
      <c r="H15" s="169"/>
      <c r="I15" s="169"/>
      <c r="J15" s="29"/>
      <c r="K15" s="29"/>
      <c r="L15" s="29"/>
      <c r="M15" s="29"/>
      <c r="N15" s="29"/>
    </row>
    <row r="16" spans="1:14" ht="12.75" x14ac:dyDescent="0.2">
      <c r="A16" s="29"/>
      <c r="B16" s="270" t="s">
        <v>197</v>
      </c>
      <c r="C16" s="270"/>
      <c r="D16" s="31"/>
      <c r="E16" s="270" t="s">
        <v>342</v>
      </c>
      <c r="F16" s="270"/>
      <c r="G16" s="39" t="str">
        <f ca="1">'Gross Capex'!O2</f>
        <v>OK</v>
      </c>
      <c r="H16" s="169"/>
      <c r="I16" s="169"/>
      <c r="J16" s="29"/>
      <c r="K16" s="29"/>
      <c r="L16" s="29"/>
      <c r="M16" s="29"/>
      <c r="N16" s="29"/>
    </row>
    <row r="17" spans="1:14" ht="12.75" x14ac:dyDescent="0.2">
      <c r="A17" s="29"/>
      <c r="B17" s="270" t="s">
        <v>324</v>
      </c>
      <c r="C17" s="270"/>
      <c r="D17"/>
      <c r="E17" s="29"/>
      <c r="F17" s="29"/>
      <c r="G17" s="39"/>
      <c r="H17"/>
      <c r="I17" s="32"/>
      <c r="J17" s="61"/>
      <c r="K17" s="29"/>
      <c r="L17" s="29"/>
      <c r="M17" s="29"/>
      <c r="N17" s="29"/>
    </row>
    <row r="18" spans="1:14" ht="12.75" x14ac:dyDescent="0.2">
      <c r="A18" s="29"/>
      <c r="B18" s="270" t="s">
        <v>357</v>
      </c>
      <c r="C18" s="270"/>
      <c r="D18" s="39"/>
      <c r="E18" s="29"/>
      <c r="F18" s="29"/>
      <c r="G18" s="39"/>
      <c r="H18" s="32"/>
      <c r="I18" s="32"/>
      <c r="J18" s="61"/>
      <c r="K18" s="29"/>
      <c r="L18" s="29"/>
      <c r="M18" s="29"/>
      <c r="N18" s="29"/>
    </row>
    <row r="19" spans="1:14" ht="12.75" x14ac:dyDescent="0.2">
      <c r="A19" s="29"/>
      <c r="B19" s="29"/>
      <c r="C19" s="29"/>
      <c r="D19" s="29"/>
      <c r="E19" s="29"/>
      <c r="F19" s="29"/>
      <c r="G19" s="39"/>
      <c r="H19" s="32"/>
      <c r="I19" s="32"/>
      <c r="J19" s="61"/>
      <c r="K19" s="29"/>
      <c r="L19" s="29"/>
      <c r="M19" s="29"/>
      <c r="N19" s="29"/>
    </row>
    <row r="20" spans="1:14" ht="12.75" x14ac:dyDescent="0.2">
      <c r="A20" s="29"/>
      <c r="B20" s="29"/>
      <c r="C20" s="29"/>
      <c r="D20" s="29"/>
      <c r="E20" s="29"/>
      <c r="F20" s="29"/>
      <c r="G20" s="39"/>
      <c r="H20" s="32"/>
      <c r="I20" s="32"/>
      <c r="J20" s="61"/>
      <c r="K20" s="29"/>
      <c r="L20" s="29"/>
      <c r="M20" s="29"/>
      <c r="N20" s="29"/>
    </row>
    <row r="21" spans="1:14" ht="12.75" x14ac:dyDescent="0.2">
      <c r="A21" s="29"/>
      <c r="B21" s="29"/>
      <c r="C21" s="29"/>
      <c r="D21" s="29"/>
      <c r="E21" s="29"/>
      <c r="F21" s="29"/>
      <c r="G21" s="32"/>
      <c r="H21" s="32"/>
      <c r="I21" s="32"/>
      <c r="J21" s="61"/>
      <c r="K21" s="29"/>
      <c r="L21" s="29"/>
      <c r="M21" s="29"/>
      <c r="N21" s="29"/>
    </row>
    <row r="22" spans="1:14" ht="12.75" x14ac:dyDescent="0.2">
      <c r="A22" s="29"/>
      <c r="B22" s="29"/>
      <c r="C22" s="29"/>
      <c r="D22" s="29"/>
      <c r="E22" s="29"/>
      <c r="F22" s="29"/>
      <c r="G22" s="29"/>
      <c r="H22" s="32"/>
      <c r="I22" s="45"/>
      <c r="J22" s="29"/>
      <c r="K22" s="29"/>
      <c r="L22" s="29"/>
      <c r="M22" s="29"/>
      <c r="N22" s="29"/>
    </row>
    <row r="23" spans="1:14" ht="12.75" hidden="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ht="12.75" hidden="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ht="12.75" hidden="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12.75" hidden="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ht="12.75" hidden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ht="12.75" hidden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ht="12.75" hidden="1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ht="12.75" hidden="1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ht="12.75" hidden="1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ht="12.75" hidden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ht="12.75" hidden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ht="12.75" hidden="1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ht="12.75" hidden="1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ht="12.75" hidden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 ht="12.75" hidden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 ht="12.75" hidden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ht="12.75" hidden="1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14" ht="12.75" hidden="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ht="12.75" hidden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ht="12.75" hidden="1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 ht="12.75" hidden="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ht="12.75" hidden="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ht="12.75" hidden="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 ht="12.75" hidden="1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ht="12.75" hidden="1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ht="12.75" hidden="1" customHeight="1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 ht="12.75" customHeight="1" x14ac:dyDescent="0.2">
      <c r="A49" s="29"/>
      <c r="B49" s="29"/>
      <c r="C49" s="29"/>
      <c r="D49" s="29"/>
      <c r="E49" s="29"/>
      <c r="F49" s="29"/>
      <c r="G49" s="29"/>
      <c r="H49" s="77"/>
      <c r="I49" s="94"/>
      <c r="J49" s="29"/>
      <c r="K49" s="29"/>
    </row>
    <row r="50" spans="1:11" ht="12.75" customHeight="1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 ht="12.75" customHeight="1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 ht="0" hidden="1" customHeight="1" x14ac:dyDescent="0.2">
      <c r="H52" s="29"/>
      <c r="I52" s="29"/>
    </row>
  </sheetData>
  <mergeCells count="29">
    <mergeCell ref="B18:C18"/>
    <mergeCell ref="B17:C17"/>
    <mergeCell ref="E16:F16"/>
    <mergeCell ref="B16:C16"/>
    <mergeCell ref="E15:F15"/>
    <mergeCell ref="H9:I9"/>
    <mergeCell ref="B15:C15"/>
    <mergeCell ref="B13:C13"/>
    <mergeCell ref="E13:F13"/>
    <mergeCell ref="B14:C14"/>
    <mergeCell ref="E14:F14"/>
    <mergeCell ref="H10:I10"/>
    <mergeCell ref="H13:I13"/>
    <mergeCell ref="H5:I5"/>
    <mergeCell ref="B6:C6"/>
    <mergeCell ref="E6:F6"/>
    <mergeCell ref="H6:I6"/>
    <mergeCell ref="B7:C7"/>
    <mergeCell ref="B5:C5"/>
    <mergeCell ref="E5:F5"/>
    <mergeCell ref="E7:F7"/>
    <mergeCell ref="H7:I7"/>
    <mergeCell ref="H8:I8"/>
    <mergeCell ref="B9:C9"/>
    <mergeCell ref="B8:C8"/>
    <mergeCell ref="E9:F9"/>
    <mergeCell ref="E10:F10"/>
    <mergeCell ref="B10:C10"/>
    <mergeCell ref="E8:F8"/>
  </mergeCells>
  <conditionalFormatting sqref="D14">
    <cfRule type="expression" dxfId="23" priority="22">
      <formula>D14="Check!"</formula>
    </cfRule>
  </conditionalFormatting>
  <conditionalFormatting sqref="J6">
    <cfRule type="expression" dxfId="21" priority="19">
      <formula>J6="Check!"</formula>
    </cfRule>
  </conditionalFormatting>
  <conditionalFormatting sqref="D18">
    <cfRule type="expression" dxfId="20" priority="18">
      <formula>D18="Check!"</formula>
    </cfRule>
  </conditionalFormatting>
  <conditionalFormatting sqref="G15:G16">
    <cfRule type="expression" dxfId="19" priority="17">
      <formula>G15="Check!"</formula>
    </cfRule>
  </conditionalFormatting>
  <conditionalFormatting sqref="J11">
    <cfRule type="expression" dxfId="18" priority="16">
      <formula>J11="Check!"</formula>
    </cfRule>
  </conditionalFormatting>
  <conditionalFormatting sqref="J7">
    <cfRule type="expression" dxfId="17" priority="14">
      <formula>J7="Check!"</formula>
    </cfRule>
  </conditionalFormatting>
  <conditionalFormatting sqref="G19">
    <cfRule type="expression" dxfId="16" priority="13">
      <formula>G19="Check!"</formula>
    </cfRule>
  </conditionalFormatting>
  <conditionalFormatting sqref="G20">
    <cfRule type="expression" dxfId="15" priority="12">
      <formula>G20="Check!"</formula>
    </cfRule>
  </conditionalFormatting>
  <conditionalFormatting sqref="J10">
    <cfRule type="expression" dxfId="13" priority="9">
      <formula>J10="Check!"</formula>
    </cfRule>
  </conditionalFormatting>
  <conditionalFormatting sqref="G19">
    <cfRule type="expression" dxfId="11" priority="7">
      <formula>G19="Check!"</formula>
    </cfRule>
  </conditionalFormatting>
  <conditionalFormatting sqref="G20">
    <cfRule type="expression" dxfId="10" priority="6">
      <formula>G20="Check!"</formula>
    </cfRule>
  </conditionalFormatting>
  <conditionalFormatting sqref="J8">
    <cfRule type="expression" dxfId="9" priority="5">
      <formula>J8="Check!"</formula>
    </cfRule>
  </conditionalFormatting>
  <conditionalFormatting sqref="G18">
    <cfRule type="expression" dxfId="8" priority="4">
      <formula>G18="Check!"</formula>
    </cfRule>
  </conditionalFormatting>
  <conditionalFormatting sqref="G18">
    <cfRule type="expression" dxfId="7" priority="3">
      <formula>G18="Check!"</formula>
    </cfRule>
  </conditionalFormatting>
  <conditionalFormatting sqref="G17">
    <cfRule type="expression" dxfId="1" priority="2">
      <formula>G17="Check!"</formula>
    </cfRule>
  </conditionalFormatting>
  <conditionalFormatting sqref="G17">
    <cfRule type="expression" dxfId="0" priority="1">
      <formula>G17="Check!"</formula>
    </cfRule>
  </conditionalFormatting>
  <hyperlinks>
    <hyperlink ref="B6:C6" location="Legend!A1" display="Legend" xr:uid="{00000000-0004-0000-0100-000000000000}"/>
    <hyperlink ref="H6:I6" location="Inflation!A1" display="Inflation" xr:uid="{00000000-0004-0000-0100-000001000000}"/>
    <hyperlink ref="H7:I7" location="'Historical Expenditure-Volumes'!A1" display="Historical Expenditure-Volumes" xr:uid="{00000000-0004-0000-0100-000002000000}"/>
    <hyperlink ref="B14:C14" location="'Function Code Mapping'!A1" display="Function Code Mapping" xr:uid="{00000000-0004-0000-0100-000003000000}"/>
    <hyperlink ref="B15:C15" location="'Growth Rates'!A1" display="Growth Rates" xr:uid="{00000000-0004-0000-0100-000004000000}"/>
    <hyperlink ref="E15:F15" location="'Expenditure &amp; Volume Output'!A1" display="Expenditure &amp; Volume Output" xr:uid="{00000000-0004-0000-0100-000005000000}"/>
    <hyperlink ref="E16:F16" location="'Direct Capex'!A1" display="Direct Capex" xr:uid="{00000000-0004-0000-0100-000006000000}"/>
    <hyperlink ref="B17:C17" location="'Forecast Expenditure-Volumes'!A1" display="Forecast Expenditure-Volumes" xr:uid="{00000000-0004-0000-0100-000007000000}"/>
    <hyperlink ref="B16:C16" location="'Unit Rates'!A1" display="Unit Rates" xr:uid="{00000000-0004-0000-0100-000008000000}"/>
    <hyperlink ref="B18:C18" location="'Forecast Contributions'!A1" display="Forecast Contributions" xr:uid="{00000000-0004-0000-0100-000009000000}"/>
    <hyperlink ref="H8:I8" location="'Historical Contributions'!A1" display="Historical Contributions" xr:uid="{00000000-0004-0000-0100-00000A000000}"/>
    <hyperlink ref="H9:I9" location="'ACIF Growth Figures'!A1" display="ACIF Growth Figures" xr:uid="{00000000-0004-0000-0100-00000B000000}"/>
    <hyperlink ref="H10:I10" location="'Major Projects'!A1" display="Major Projects" xr:uid="{00000000-0004-0000-0100-00000C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8" tint="0.59999389629810485"/>
  </sheetPr>
  <dimension ref="A1:U73"/>
  <sheetViews>
    <sheetView tabSelected="1" zoomScale="85" zoomScaleNormal="85" workbookViewId="0"/>
  </sheetViews>
  <sheetFormatPr defaultColWidth="0" defaultRowHeight="12.75" zeroHeight="1" x14ac:dyDescent="0.2"/>
  <cols>
    <col min="1" max="1" width="3.7109375" customWidth="1"/>
    <col min="2" max="2" width="24.28515625" customWidth="1"/>
    <col min="3" max="3" width="14.5703125" style="162" customWidth="1"/>
    <col min="4" max="14" width="9.140625" customWidth="1"/>
    <col min="15" max="15" width="3.7109375" customWidth="1"/>
    <col min="16" max="21" width="0" hidden="1" customWidth="1"/>
    <col min="22" max="16384" width="9.140625" hidden="1"/>
  </cols>
  <sheetData>
    <row r="1" spans="1:20" ht="18" x14ac:dyDescent="0.25">
      <c r="A1" s="26" t="str">
        <f>Menu!A1</f>
        <v>CitiPower - Connections</v>
      </c>
      <c r="B1" s="26"/>
      <c r="C1" s="26"/>
      <c r="D1" s="26"/>
      <c r="E1" s="26"/>
      <c r="F1" s="26"/>
      <c r="G1" s="315" t="s">
        <v>352</v>
      </c>
      <c r="H1" s="315"/>
      <c r="I1" s="26"/>
      <c r="J1" s="26"/>
      <c r="K1" s="26"/>
      <c r="L1" s="26"/>
      <c r="M1" s="26"/>
      <c r="N1" s="30" t="s">
        <v>39</v>
      </c>
      <c r="O1" s="26"/>
    </row>
    <row r="2" spans="1:20" ht="15.75" x14ac:dyDescent="0.25">
      <c r="A2" s="28" t="str">
        <f ca="1">RIGHT(CELL("filename", $A$1), LEN(CELL("filename", $A$1)) - SEARCH("]", CELL("filename", $A$1)))</f>
        <v>Inflation</v>
      </c>
      <c r="B2" s="28"/>
      <c r="C2" s="28"/>
      <c r="D2" s="28"/>
      <c r="E2" s="28"/>
      <c r="F2" s="28"/>
      <c r="G2" s="316" t="s">
        <v>353</v>
      </c>
      <c r="H2" s="316"/>
      <c r="I2" s="28"/>
      <c r="J2" s="28"/>
      <c r="K2" s="28"/>
      <c r="L2" s="28"/>
      <c r="M2" s="28"/>
      <c r="N2" s="28"/>
      <c r="O2" s="28"/>
    </row>
    <row r="3" spans="1:20" x14ac:dyDescent="0.2">
      <c r="A3" s="4"/>
      <c r="B3" s="4"/>
      <c r="C3" s="14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 x14ac:dyDescent="0.2">
      <c r="A4" s="4"/>
      <c r="B4" s="46" t="s">
        <v>171</v>
      </c>
      <c r="C4" s="46"/>
      <c r="D4" s="95">
        <v>2021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"/>
    </row>
    <row r="5" spans="1:20" x14ac:dyDescent="0.2">
      <c r="A5" s="4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"/>
    </row>
    <row r="6" spans="1:20" x14ac:dyDescent="0.2">
      <c r="A6" s="4"/>
      <c r="B6" s="34" t="s">
        <v>344</v>
      </c>
      <c r="C6" s="34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"/>
    </row>
    <row r="7" spans="1:20" s="157" customFormat="1" ht="18" customHeight="1" x14ac:dyDescent="0.2">
      <c r="A7" s="154"/>
      <c r="B7" s="35" t="s">
        <v>346</v>
      </c>
      <c r="C7" s="35"/>
      <c r="D7" s="3" t="str">
        <f>"FY"&amp;RIGHT(D8,2)&amp;"/"&amp;RIGHT(D8+1,2)</f>
        <v>FY11/12</v>
      </c>
      <c r="E7" s="3" t="str">
        <f t="shared" ref="E7:N7" si="0">"FY"&amp;RIGHT(E8,2)&amp;"/"&amp;RIGHT(E8+1,2)</f>
        <v>FY12/13</v>
      </c>
      <c r="F7" s="3" t="str">
        <f t="shared" si="0"/>
        <v>FY13/14</v>
      </c>
      <c r="G7" s="3" t="str">
        <f t="shared" si="0"/>
        <v>FY14/15</v>
      </c>
      <c r="H7" s="3" t="str">
        <f t="shared" si="0"/>
        <v>FY15/16</v>
      </c>
      <c r="I7" s="3" t="str">
        <f t="shared" si="0"/>
        <v>FY16/17</v>
      </c>
      <c r="J7" s="3" t="str">
        <f t="shared" si="0"/>
        <v>FY17/18</v>
      </c>
      <c r="K7" s="3" t="str">
        <f t="shared" si="0"/>
        <v>FY18/19</v>
      </c>
      <c r="L7" s="3" t="str">
        <f t="shared" si="0"/>
        <v>FY19/20</v>
      </c>
      <c r="M7" s="3" t="str">
        <f t="shared" si="0"/>
        <v>FY20/21</v>
      </c>
      <c r="N7" s="3" t="str">
        <f t="shared" si="0"/>
        <v>FY21/22</v>
      </c>
      <c r="O7" s="154"/>
    </row>
    <row r="8" spans="1:20" x14ac:dyDescent="0.2">
      <c r="A8" s="4"/>
      <c r="B8" s="35" t="s">
        <v>172</v>
      </c>
      <c r="C8" s="35"/>
      <c r="D8" s="3">
        <v>2011</v>
      </c>
      <c r="E8" s="3">
        <f>D8+1</f>
        <v>2012</v>
      </c>
      <c r="F8" s="3">
        <f t="shared" ref="F8:N8" si="1">E8+1</f>
        <v>2013</v>
      </c>
      <c r="G8" s="3">
        <f t="shared" si="1"/>
        <v>2014</v>
      </c>
      <c r="H8" s="3">
        <f t="shared" si="1"/>
        <v>2015</v>
      </c>
      <c r="I8" s="3">
        <f t="shared" si="1"/>
        <v>2016</v>
      </c>
      <c r="J8" s="3">
        <f t="shared" si="1"/>
        <v>2017</v>
      </c>
      <c r="K8" s="3">
        <f t="shared" si="1"/>
        <v>2018</v>
      </c>
      <c r="L8" s="3">
        <f t="shared" si="1"/>
        <v>2019</v>
      </c>
      <c r="M8" s="3">
        <f>L8+1</f>
        <v>2020</v>
      </c>
      <c r="N8" s="3">
        <f t="shared" si="1"/>
        <v>2021</v>
      </c>
      <c r="O8" s="4"/>
    </row>
    <row r="9" spans="1:20" x14ac:dyDescent="0.2">
      <c r="A9" s="4"/>
      <c r="B9" s="49" t="s">
        <v>351</v>
      </c>
      <c r="C9" s="49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6"/>
      <c r="O9" s="4"/>
    </row>
    <row r="10" spans="1:20" x14ac:dyDescent="0.2">
      <c r="A10" s="4"/>
      <c r="B10" s="49" t="str">
        <f>"Conversion Factor to" &amp; " " &amp;D4</f>
        <v>Conversion Factor to 2021</v>
      </c>
      <c r="C10" s="49"/>
      <c r="D10" s="317">
        <v>1.2110027534934977</v>
      </c>
      <c r="E10" s="317">
        <v>1.1698259597570968</v>
      </c>
      <c r="F10" s="317">
        <v>1.1468431314711027</v>
      </c>
      <c r="G10" s="317">
        <v>1.122582988305368</v>
      </c>
      <c r="H10" s="317">
        <v>1.0972615675165249</v>
      </c>
      <c r="I10" s="317">
        <v>1.0809302325581396</v>
      </c>
      <c r="J10" s="317">
        <v>1.0699815837937385</v>
      </c>
      <c r="K10" s="317">
        <v>1.0496838301716351</v>
      </c>
      <c r="L10" s="317">
        <v>1.0283185840707965</v>
      </c>
      <c r="M10" s="317">
        <v>1.0121951219512195</v>
      </c>
      <c r="N10" s="317">
        <v>1</v>
      </c>
      <c r="O10" s="4"/>
    </row>
    <row r="11" spans="1:20" x14ac:dyDescent="0.2">
      <c r="A11" s="4"/>
      <c r="B11" s="4"/>
      <c r="C11" s="14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20" s="162" customFormat="1" ht="15.75" x14ac:dyDescent="0.25">
      <c r="A12" s="28"/>
      <c r="B12" s="28" t="s">
        <v>307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hidden="1" x14ac:dyDescent="0.2">
      <c r="A13" s="4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4"/>
    </row>
    <row r="14" spans="1:20" hidden="1" x14ac:dyDescent="0.2">
      <c r="A14" s="4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4"/>
    </row>
    <row r="15" spans="1:20" hidden="1" x14ac:dyDescent="0.2">
      <c r="A15" s="4"/>
      <c r="B15" s="4"/>
      <c r="C15" s="14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20" hidden="1" x14ac:dyDescent="0.2">
      <c r="A16" s="4"/>
      <c r="B16" s="4"/>
      <c r="C16" s="14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idden="1" x14ac:dyDescent="0.2">
      <c r="A17" s="4"/>
      <c r="B17" s="4"/>
      <c r="C17" s="14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idden="1" x14ac:dyDescent="0.2">
      <c r="A18" s="4"/>
      <c r="B18" s="4"/>
      <c r="C18" s="14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idden="1" x14ac:dyDescent="0.2">
      <c r="A19" s="4"/>
      <c r="B19" s="4"/>
      <c r="C19" s="14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idden="1" x14ac:dyDescent="0.2">
      <c r="A20" s="4"/>
      <c r="B20" s="4"/>
      <c r="C20" s="14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idden="1" x14ac:dyDescent="0.2">
      <c r="A21" s="4"/>
      <c r="B21" s="4"/>
      <c r="C21" s="14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idden="1" x14ac:dyDescent="0.2">
      <c r="A22" s="4"/>
      <c r="B22" s="4"/>
      <c r="C22" s="14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idden="1" x14ac:dyDescent="0.2">
      <c r="A23" s="4"/>
      <c r="B23" s="4"/>
      <c r="C23" s="14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idden="1" x14ac:dyDescent="0.2">
      <c r="A24" s="4"/>
      <c r="B24" s="4"/>
      <c r="C24" s="14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idden="1" x14ac:dyDescent="0.2">
      <c r="A25" s="4"/>
      <c r="B25" s="4"/>
      <c r="C25" s="14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idden="1" x14ac:dyDescent="0.2">
      <c r="A26" s="4"/>
      <c r="B26" s="4"/>
      <c r="C26" s="14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idden="1" x14ac:dyDescent="0.2">
      <c r="A27" s="4"/>
      <c r="B27" s="4"/>
      <c r="C27" s="14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idden="1" x14ac:dyDescent="0.2">
      <c r="A28" s="4"/>
      <c r="B28" s="4"/>
      <c r="C28" s="14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idden="1" x14ac:dyDescent="0.2">
      <c r="A29" s="4"/>
      <c r="B29" s="4"/>
      <c r="C29" s="14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idden="1" x14ac:dyDescent="0.2">
      <c r="A30" s="4"/>
      <c r="B30" s="4"/>
      <c r="C30" s="14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idden="1" x14ac:dyDescent="0.2">
      <c r="A31" s="4"/>
      <c r="B31" s="4"/>
      <c r="C31" s="14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idden="1" x14ac:dyDescent="0.2">
      <c r="A32" s="4"/>
      <c r="B32" s="4"/>
      <c r="C32" s="14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idden="1" x14ac:dyDescent="0.2">
      <c r="A33" s="4"/>
      <c r="B33" s="4"/>
      <c r="C33" s="14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hidden="1" x14ac:dyDescent="0.2">
      <c r="A34" s="4"/>
      <c r="B34" s="4"/>
      <c r="C34" s="14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idden="1" x14ac:dyDescent="0.2">
      <c r="A35" s="4"/>
      <c r="B35" s="4"/>
      <c r="C35" s="14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idden="1" x14ac:dyDescent="0.2">
      <c r="A36" s="4"/>
      <c r="B36" s="4"/>
      <c r="C36" s="14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idden="1" x14ac:dyDescent="0.2">
      <c r="A37" s="4"/>
      <c r="B37" s="4"/>
      <c r="C37" s="14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idden="1" x14ac:dyDescent="0.2">
      <c r="A38" s="4"/>
      <c r="B38" s="4"/>
      <c r="C38" s="14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hidden="1" x14ac:dyDescent="0.2">
      <c r="A39" s="4"/>
      <c r="B39" s="4"/>
      <c r="C39" s="14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idden="1" x14ac:dyDescent="0.2">
      <c r="A40" s="4"/>
      <c r="B40" s="4"/>
      <c r="C40" s="14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hidden="1" x14ac:dyDescent="0.2">
      <c r="A41" s="4"/>
      <c r="B41" s="4"/>
      <c r="C41" s="14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hidden="1" x14ac:dyDescent="0.2">
      <c r="A42" s="4"/>
      <c r="B42" s="4"/>
      <c r="C42" s="14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hidden="1" x14ac:dyDescent="0.2">
      <c r="A43" s="4"/>
      <c r="B43" s="4"/>
      <c r="C43" s="14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hidden="1" x14ac:dyDescent="0.2">
      <c r="A44" s="4"/>
      <c r="B44" s="4"/>
      <c r="C44" s="14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hidden="1" x14ac:dyDescent="0.2">
      <c r="A45" s="4"/>
      <c r="B45" s="4"/>
      <c r="C45" s="14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idden="1" x14ac:dyDescent="0.2">
      <c r="A46" s="4"/>
      <c r="B46" s="4"/>
      <c r="C46" s="14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hidden="1" x14ac:dyDescent="0.2">
      <c r="B47" s="4"/>
      <c r="C47" s="14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5" hidden="1" x14ac:dyDescent="0.2">
      <c r="B48" s="4"/>
      <c r="C48" s="14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</sheetData>
  <dataValidations count="1">
    <dataValidation type="list" allowBlank="1" showInputMessage="1" showErrorMessage="1" sqref="F4" xr:uid="{00000000-0002-0000-0200-000000000000}">
      <formula1>"1,2"</formula1>
    </dataValidation>
  </dataValidations>
  <hyperlinks>
    <hyperlink ref="N1" location="Menu!A1" display="Menu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8" tint="0.59999389629810485"/>
    <pageSetUpPr fitToPage="1"/>
  </sheetPr>
  <dimension ref="A1:U156"/>
  <sheetViews>
    <sheetView zoomScale="85" zoomScaleNormal="85" workbookViewId="0"/>
  </sheetViews>
  <sheetFormatPr defaultColWidth="0" defaultRowHeight="12.75" zeroHeight="1" x14ac:dyDescent="0.2"/>
  <cols>
    <col min="1" max="1" width="3.7109375" customWidth="1"/>
    <col min="2" max="2" width="15.5703125" customWidth="1"/>
    <col min="3" max="3" width="31.42578125" style="137" customWidth="1"/>
    <col min="4" max="8" width="11.7109375" customWidth="1"/>
    <col min="9" max="9" width="12" customWidth="1"/>
    <col min="10" max="11" width="11.7109375" customWidth="1"/>
    <col min="12" max="12" width="11.28515625" customWidth="1"/>
    <col min="13" max="13" width="3.7109375" hidden="1" customWidth="1"/>
    <col min="14" max="17" width="11.7109375" hidden="1" customWidth="1"/>
    <col min="18" max="18" width="3.7109375" hidden="1" customWidth="1"/>
    <col min="19" max="16384" width="9.140625" hidden="1"/>
  </cols>
  <sheetData>
    <row r="1" spans="1:21" ht="18" x14ac:dyDescent="0.25">
      <c r="A1" s="26" t="str">
        <f>Menu!A1</f>
        <v>CitiPower - Connections</v>
      </c>
      <c r="B1" s="26"/>
      <c r="C1" s="26"/>
      <c r="D1" s="26"/>
      <c r="E1" s="26"/>
      <c r="F1" s="26"/>
      <c r="G1" s="26"/>
      <c r="H1" s="26"/>
      <c r="I1" s="26"/>
      <c r="J1" s="26"/>
      <c r="K1" s="30" t="s">
        <v>39</v>
      </c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15.75" x14ac:dyDescent="0.25">
      <c r="A2" s="196" t="str">
        <f ca="1">RIGHT(CELL("filename", $A$1), LEN(CELL("filename", $A$1)) - SEARCH("]", CELL("filename", $A$1)))</f>
        <v>Historical Expenditure-Volumes</v>
      </c>
      <c r="B2" s="28"/>
      <c r="C2" s="28"/>
      <c r="D2" s="28"/>
      <c r="E2" s="28"/>
      <c r="F2" s="28"/>
      <c r="G2" s="28"/>
      <c r="H2" s="28"/>
      <c r="I2" s="28"/>
      <c r="J2" s="38" t="s">
        <v>82</v>
      </c>
      <c r="K2" s="195" t="str">
        <f>IF(SUM(D76:G76)=0,"OK","Check!")</f>
        <v>OK</v>
      </c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x14ac:dyDescent="0.2">
      <c r="A3" s="4"/>
      <c r="B3" s="4"/>
      <c r="C3" s="143"/>
      <c r="D3" s="4"/>
      <c r="E3" s="4"/>
      <c r="F3" s="4"/>
      <c r="G3" s="4"/>
      <c r="H3" s="4"/>
      <c r="I3" s="4"/>
      <c r="J3" s="4"/>
      <c r="K3" s="4"/>
      <c r="L3" s="4"/>
      <c r="M3" s="143"/>
      <c r="N3" s="143"/>
      <c r="O3" s="143"/>
      <c r="P3" s="143"/>
      <c r="Q3" s="143"/>
      <c r="R3" s="4"/>
      <c r="S3" s="4"/>
      <c r="T3" s="4"/>
      <c r="U3" s="4"/>
    </row>
    <row r="4" spans="1:21" x14ac:dyDescent="0.2">
      <c r="A4" s="4"/>
      <c r="B4" s="34" t="s">
        <v>196</v>
      </c>
      <c r="C4" s="34"/>
      <c r="D4" s="4"/>
      <c r="E4" s="4"/>
      <c r="F4" s="4"/>
      <c r="G4" s="4"/>
      <c r="H4" s="4"/>
      <c r="I4" s="4"/>
      <c r="J4" s="86"/>
      <c r="K4" s="4"/>
      <c r="L4" s="4"/>
      <c r="M4" s="143"/>
      <c r="N4" s="143"/>
      <c r="O4" s="143"/>
      <c r="P4" s="143"/>
      <c r="Q4" s="143"/>
      <c r="R4" s="4"/>
      <c r="S4" s="4"/>
      <c r="T4" s="4"/>
      <c r="U4" s="4"/>
    </row>
    <row r="5" spans="1:21" x14ac:dyDescent="0.2">
      <c r="A5" s="4"/>
      <c r="B5" s="111"/>
      <c r="C5" s="153"/>
      <c r="D5" s="112"/>
      <c r="E5" s="112"/>
      <c r="F5" s="102"/>
      <c r="G5" s="4"/>
      <c r="H5" s="4"/>
      <c r="I5" s="177"/>
      <c r="J5" s="177"/>
      <c r="K5" s="177"/>
      <c r="L5" s="177"/>
      <c r="M5" s="143"/>
      <c r="N5" s="143"/>
      <c r="O5" s="143"/>
      <c r="P5" s="143"/>
      <c r="Q5" s="143"/>
      <c r="R5" s="4"/>
      <c r="S5" s="4"/>
      <c r="T5" s="4"/>
      <c r="U5" s="4"/>
    </row>
    <row r="6" spans="1:21" s="157" customFormat="1" ht="17.25" customHeight="1" x14ac:dyDescent="0.2">
      <c r="A6" s="154"/>
      <c r="B6" s="155"/>
      <c r="C6" s="156"/>
      <c r="D6" s="154"/>
      <c r="E6" s="112"/>
      <c r="F6" s="155"/>
      <c r="G6" s="182"/>
      <c r="H6" s="154"/>
      <c r="I6" s="177"/>
      <c r="J6" s="177"/>
      <c r="K6" s="177"/>
      <c r="L6" s="177"/>
      <c r="M6" s="143"/>
      <c r="N6" s="143"/>
      <c r="O6" s="143"/>
      <c r="P6" s="143"/>
      <c r="Q6" s="143"/>
      <c r="R6" s="154"/>
      <c r="S6" s="154"/>
      <c r="T6" s="154"/>
      <c r="U6" s="154"/>
    </row>
    <row r="7" spans="1:21" x14ac:dyDescent="0.2">
      <c r="A7" s="4"/>
      <c r="B7" s="4"/>
      <c r="C7" s="143"/>
      <c r="D7" s="280" t="s">
        <v>174</v>
      </c>
      <c r="E7" s="281"/>
      <c r="F7" s="281"/>
      <c r="G7" s="282"/>
      <c r="H7" s="183"/>
      <c r="I7" s="177"/>
      <c r="J7" s="177"/>
      <c r="K7" s="177"/>
      <c r="L7" s="177"/>
      <c r="M7" s="143"/>
      <c r="N7" s="143"/>
      <c r="O7" s="143"/>
      <c r="P7" s="143"/>
      <c r="Q7" s="143"/>
      <c r="R7" s="4"/>
      <c r="S7" s="4"/>
      <c r="T7" s="4"/>
      <c r="U7" s="4"/>
    </row>
    <row r="8" spans="1:21" x14ac:dyDescent="0.2">
      <c r="A8" s="4"/>
      <c r="B8" s="3" t="s">
        <v>35</v>
      </c>
      <c r="C8" s="3" t="s">
        <v>75</v>
      </c>
      <c r="D8" s="3" t="s">
        <v>325</v>
      </c>
      <c r="E8" s="3" t="s">
        <v>326</v>
      </c>
      <c r="F8" s="3" t="s">
        <v>327</v>
      </c>
      <c r="G8" s="78" t="s">
        <v>328</v>
      </c>
      <c r="H8" s="182"/>
      <c r="I8" s="177"/>
      <c r="J8" s="177"/>
      <c r="K8" s="177"/>
      <c r="L8" s="143"/>
      <c r="M8" s="143"/>
      <c r="N8" s="143"/>
      <c r="O8" s="143"/>
      <c r="P8" s="143"/>
      <c r="Q8" s="4"/>
      <c r="R8" s="4"/>
      <c r="S8" s="4"/>
      <c r="T8" s="4"/>
    </row>
    <row r="9" spans="1:21" x14ac:dyDescent="0.2">
      <c r="A9" s="4"/>
      <c r="B9" s="210">
        <v>102</v>
      </c>
      <c r="C9" s="101" t="s">
        <v>285</v>
      </c>
      <c r="D9" s="204">
        <v>1127526.0750000067</v>
      </c>
      <c r="E9" s="204">
        <v>1645362.5549999999</v>
      </c>
      <c r="F9" s="204">
        <v>2605280.7800000003</v>
      </c>
      <c r="G9" s="204">
        <v>3452141.5936497408</v>
      </c>
      <c r="H9" s="177"/>
      <c r="I9" s="177"/>
      <c r="J9" s="177"/>
      <c r="K9" s="177"/>
      <c r="L9" s="143"/>
      <c r="M9" s="143"/>
      <c r="N9" s="143"/>
      <c r="O9" s="143"/>
      <c r="P9" s="143"/>
      <c r="Q9" s="4"/>
      <c r="R9" s="4"/>
      <c r="S9" s="4"/>
      <c r="T9" s="4"/>
    </row>
    <row r="10" spans="1:21" x14ac:dyDescent="0.2">
      <c r="A10" s="4"/>
      <c r="B10" s="210">
        <v>104</v>
      </c>
      <c r="C10" s="101" t="s">
        <v>286</v>
      </c>
      <c r="D10" s="204">
        <v>131.51</v>
      </c>
      <c r="E10" s="204">
        <v>68975.005000000005</v>
      </c>
      <c r="F10" s="204">
        <v>70875.874999997031</v>
      </c>
      <c r="G10" s="204">
        <v>6473.8300000000008</v>
      </c>
      <c r="H10" s="177"/>
      <c r="I10" s="177"/>
      <c r="J10" s="177"/>
      <c r="K10" s="177"/>
      <c r="L10" s="143"/>
      <c r="M10" s="143"/>
      <c r="N10" s="143"/>
      <c r="O10" s="143"/>
      <c r="P10" s="143"/>
      <c r="Q10" s="4"/>
      <c r="R10" s="4"/>
      <c r="S10" s="4"/>
      <c r="T10" s="4"/>
    </row>
    <row r="11" spans="1:21" x14ac:dyDescent="0.2">
      <c r="A11" s="4"/>
      <c r="B11" s="210">
        <v>105</v>
      </c>
      <c r="C11" s="101" t="s">
        <v>287</v>
      </c>
      <c r="D11" s="204">
        <v>6022469.8949999996</v>
      </c>
      <c r="E11" s="204">
        <v>6314421.2349999994</v>
      </c>
      <c r="F11" s="204">
        <v>6718238.5899999999</v>
      </c>
      <c r="G11" s="204">
        <v>7838303.5208385354</v>
      </c>
      <c r="H11" s="177"/>
      <c r="I11" s="177"/>
      <c r="J11" s="177"/>
      <c r="K11" s="177"/>
      <c r="L11" s="143"/>
      <c r="M11" s="143"/>
      <c r="N11" s="143"/>
      <c r="O11" s="143"/>
      <c r="P11" s="143"/>
      <c r="Q11" s="4"/>
      <c r="R11" s="4"/>
      <c r="S11" s="4"/>
      <c r="T11" s="4"/>
    </row>
    <row r="12" spans="1:21" x14ac:dyDescent="0.2">
      <c r="A12" s="4"/>
      <c r="B12" s="210">
        <v>106</v>
      </c>
      <c r="C12" s="101" t="s">
        <v>288</v>
      </c>
      <c r="D12" s="204">
        <v>9362904.9750000015</v>
      </c>
      <c r="E12" s="204">
        <v>8048034.245000001</v>
      </c>
      <c r="F12" s="204">
        <v>8765235.1449999996</v>
      </c>
      <c r="G12" s="204">
        <v>9339365.495710291</v>
      </c>
      <c r="H12" s="177"/>
      <c r="I12" s="177"/>
      <c r="J12" s="177"/>
      <c r="K12" s="177"/>
      <c r="L12" s="143"/>
      <c r="M12" s="143"/>
      <c r="N12" s="143"/>
      <c r="O12" s="143"/>
      <c r="P12" s="143"/>
      <c r="Q12" s="4"/>
      <c r="R12" s="4"/>
      <c r="S12" s="4"/>
      <c r="T12" s="4"/>
    </row>
    <row r="13" spans="1:21" x14ac:dyDescent="0.2">
      <c r="A13" s="4"/>
      <c r="B13" s="210">
        <v>107</v>
      </c>
      <c r="C13" s="101" t="s">
        <v>289</v>
      </c>
      <c r="D13" s="204">
        <v>2852959.7149999999</v>
      </c>
      <c r="E13" s="204">
        <v>3238626.2050000001</v>
      </c>
      <c r="F13" s="204">
        <v>1898866.0950000002</v>
      </c>
      <c r="G13" s="204">
        <v>2784148.0607857588</v>
      </c>
      <c r="H13" s="177"/>
      <c r="I13" s="177"/>
      <c r="J13" s="177"/>
      <c r="K13" s="177"/>
      <c r="L13" s="143"/>
      <c r="M13" s="143"/>
      <c r="N13" s="143"/>
      <c r="O13" s="143"/>
      <c r="P13" s="143"/>
      <c r="Q13" s="4"/>
      <c r="R13" s="4"/>
      <c r="S13" s="4"/>
      <c r="T13" s="4"/>
    </row>
    <row r="14" spans="1:21" x14ac:dyDescent="0.2">
      <c r="A14" s="4"/>
      <c r="B14" s="210">
        <v>108</v>
      </c>
      <c r="C14" s="101" t="s">
        <v>290</v>
      </c>
      <c r="D14" s="204">
        <v>0</v>
      </c>
      <c r="E14" s="204">
        <v>0</v>
      </c>
      <c r="F14" s="204">
        <v>0</v>
      </c>
      <c r="G14" s="204">
        <v>0</v>
      </c>
      <c r="H14" s="177"/>
      <c r="I14" s="177"/>
      <c r="J14" s="177"/>
      <c r="K14" s="177"/>
      <c r="L14" s="143"/>
      <c r="M14" s="143"/>
      <c r="N14" s="143"/>
      <c r="O14" s="143"/>
      <c r="P14" s="143"/>
      <c r="Q14" s="4"/>
      <c r="R14" s="4"/>
      <c r="S14" s="4"/>
      <c r="T14" s="4"/>
    </row>
    <row r="15" spans="1:21" x14ac:dyDescent="0.2">
      <c r="A15" s="4"/>
      <c r="B15" s="210">
        <v>109</v>
      </c>
      <c r="C15" s="101" t="s">
        <v>291</v>
      </c>
      <c r="D15" s="204">
        <v>2081474.2950000002</v>
      </c>
      <c r="E15" s="204">
        <v>4725766.25</v>
      </c>
      <c r="F15" s="204">
        <v>5473646.2549999999</v>
      </c>
      <c r="G15" s="204">
        <v>6705167.954892897</v>
      </c>
      <c r="H15" s="177"/>
      <c r="I15" s="177"/>
      <c r="J15" s="177"/>
      <c r="K15" s="177"/>
      <c r="L15" s="143"/>
      <c r="M15" s="143"/>
      <c r="N15" s="143"/>
      <c r="O15" s="143"/>
      <c r="P15" s="143"/>
      <c r="Q15" s="4"/>
      <c r="R15" s="4"/>
      <c r="S15" s="4"/>
      <c r="T15" s="4"/>
    </row>
    <row r="16" spans="1:21" x14ac:dyDescent="0.2">
      <c r="A16" s="4"/>
      <c r="B16" s="210">
        <v>110</v>
      </c>
      <c r="C16" s="101" t="s">
        <v>292</v>
      </c>
      <c r="D16" s="204">
        <v>0</v>
      </c>
      <c r="E16" s="204">
        <v>0</v>
      </c>
      <c r="F16" s="204">
        <v>0</v>
      </c>
      <c r="G16" s="204">
        <v>0</v>
      </c>
      <c r="H16" s="177"/>
      <c r="I16" s="177"/>
      <c r="J16" s="177"/>
      <c r="K16" s="177"/>
      <c r="L16" s="143"/>
      <c r="M16" s="143"/>
      <c r="N16" s="143"/>
      <c r="O16" s="143"/>
      <c r="P16" s="143"/>
      <c r="Q16" s="4"/>
      <c r="R16" s="4"/>
      <c r="S16" s="4"/>
      <c r="T16" s="4"/>
    </row>
    <row r="17" spans="1:21" x14ac:dyDescent="0.2">
      <c r="A17" s="4"/>
      <c r="B17" s="210">
        <v>111</v>
      </c>
      <c r="C17" s="101" t="s">
        <v>293</v>
      </c>
      <c r="D17" s="204">
        <v>21343670.899999999</v>
      </c>
      <c r="E17" s="204">
        <v>18332901.675000001</v>
      </c>
      <c r="F17" s="204">
        <v>21591999.590000004</v>
      </c>
      <c r="G17" s="204">
        <v>26519143.490501307</v>
      </c>
      <c r="H17" s="177"/>
      <c r="I17" s="177"/>
      <c r="J17" s="177"/>
      <c r="K17" s="177"/>
      <c r="L17" s="143"/>
      <c r="M17" s="143"/>
      <c r="N17" s="143"/>
      <c r="O17" s="143"/>
      <c r="P17" s="143"/>
      <c r="Q17" s="4"/>
      <c r="R17" s="143"/>
      <c r="S17" s="143"/>
      <c r="T17" s="4"/>
    </row>
    <row r="18" spans="1:21" x14ac:dyDescent="0.2">
      <c r="A18" s="4"/>
      <c r="B18" s="210">
        <v>114</v>
      </c>
      <c r="C18" s="101" t="s">
        <v>95</v>
      </c>
      <c r="D18" s="204">
        <v>136521.84999999998</v>
      </c>
      <c r="E18" s="204">
        <v>0</v>
      </c>
      <c r="F18" s="204">
        <v>0</v>
      </c>
      <c r="G18" s="204">
        <v>0</v>
      </c>
      <c r="H18" s="177"/>
      <c r="I18" s="177"/>
      <c r="J18" s="177"/>
      <c r="K18" s="177"/>
      <c r="L18" s="143"/>
      <c r="M18" s="143"/>
      <c r="N18" s="143"/>
      <c r="O18" s="143"/>
      <c r="P18" s="143"/>
      <c r="Q18" s="4"/>
      <c r="R18" s="143"/>
      <c r="S18" s="143"/>
      <c r="T18" s="4"/>
    </row>
    <row r="19" spans="1:21" x14ac:dyDescent="0.2">
      <c r="A19" s="4"/>
      <c r="B19" s="210">
        <v>115</v>
      </c>
      <c r="C19" s="101" t="s">
        <v>96</v>
      </c>
      <c r="D19" s="204">
        <v>991831.24999998952</v>
      </c>
      <c r="E19" s="204">
        <v>0</v>
      </c>
      <c r="F19" s="204">
        <v>0</v>
      </c>
      <c r="G19" s="204">
        <v>0</v>
      </c>
      <c r="H19" s="177"/>
      <c r="I19" s="177"/>
      <c r="J19" s="177"/>
      <c r="K19" s="177"/>
      <c r="L19" s="143"/>
      <c r="M19" s="143"/>
      <c r="N19" s="143"/>
      <c r="O19" s="143"/>
      <c r="P19" s="143"/>
      <c r="Q19" s="4"/>
      <c r="R19" s="143"/>
      <c r="S19" s="143"/>
      <c r="T19" s="4"/>
    </row>
    <row r="20" spans="1:21" x14ac:dyDescent="0.2">
      <c r="A20" s="4"/>
      <c r="B20" s="210">
        <v>116</v>
      </c>
      <c r="C20" s="101" t="s">
        <v>97</v>
      </c>
      <c r="D20" s="204">
        <v>15936060.679999996</v>
      </c>
      <c r="E20" s="204">
        <v>21738427.959999997</v>
      </c>
      <c r="F20" s="204">
        <v>24447585.664999999</v>
      </c>
      <c r="G20" s="204">
        <v>24600712.078994878</v>
      </c>
      <c r="H20" s="177"/>
      <c r="I20" s="177"/>
      <c r="J20" s="177"/>
      <c r="K20" s="177"/>
      <c r="L20" s="143"/>
      <c r="M20" s="143"/>
      <c r="N20" s="143"/>
      <c r="O20" s="143"/>
      <c r="P20" s="143"/>
      <c r="Q20" s="4"/>
      <c r="R20" s="143"/>
      <c r="S20" s="143"/>
      <c r="T20" s="4"/>
    </row>
    <row r="21" spans="1:21" x14ac:dyDescent="0.2">
      <c r="A21" s="4"/>
      <c r="B21" s="210">
        <v>118</v>
      </c>
      <c r="C21" s="101" t="s">
        <v>294</v>
      </c>
      <c r="D21" s="204">
        <v>43357.62</v>
      </c>
      <c r="E21" s="204">
        <v>31120.57</v>
      </c>
      <c r="F21" s="204">
        <v>24871.39</v>
      </c>
      <c r="G21" s="204">
        <v>7283.716179315491</v>
      </c>
      <c r="H21" s="177"/>
      <c r="I21" s="177"/>
      <c r="J21" s="177"/>
      <c r="K21" s="177"/>
      <c r="L21" s="143"/>
      <c r="M21" s="143"/>
      <c r="N21" s="143"/>
      <c r="O21" s="143"/>
      <c r="P21" s="143"/>
      <c r="Q21" s="4"/>
      <c r="R21" s="143"/>
      <c r="S21" s="143"/>
      <c r="T21" s="4"/>
    </row>
    <row r="22" spans="1:21" s="146" customFormat="1" x14ac:dyDescent="0.2">
      <c r="A22" s="143"/>
      <c r="B22" s="210">
        <v>121</v>
      </c>
      <c r="C22" s="101" t="s">
        <v>300</v>
      </c>
      <c r="D22" s="204">
        <v>9375.8299999999981</v>
      </c>
      <c r="E22" s="204">
        <v>286702.26</v>
      </c>
      <c r="F22" s="204">
        <v>282561.22499999998</v>
      </c>
      <c r="G22" s="204">
        <v>0</v>
      </c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</row>
    <row r="23" spans="1:21" s="60" customFormat="1" x14ac:dyDescent="0.2">
      <c r="A23" s="4"/>
      <c r="B23" s="143"/>
      <c r="C23" s="147" t="s">
        <v>36</v>
      </c>
      <c r="D23" s="184">
        <f t="shared" ref="D23:G23" si="0">SUM(D9:D22)</f>
        <v>59908284.594999991</v>
      </c>
      <c r="E23" s="184">
        <f t="shared" si="0"/>
        <v>64430337.959999993</v>
      </c>
      <c r="F23" s="184">
        <f t="shared" si="0"/>
        <v>71879160.609999999</v>
      </c>
      <c r="G23" s="184">
        <f t="shared" si="0"/>
        <v>81252739.741552711</v>
      </c>
      <c r="H23" s="143"/>
      <c r="I23" s="143"/>
      <c r="J23" s="143"/>
      <c r="K23" s="4"/>
      <c r="L23" s="143"/>
      <c r="M23" s="143"/>
      <c r="N23" s="75"/>
      <c r="O23" s="1"/>
      <c r="P23" s="143"/>
      <c r="Q23" s="4"/>
      <c r="R23" s="143"/>
      <c r="S23" s="143"/>
      <c r="T23" s="4"/>
    </row>
    <row r="24" spans="1:21" s="162" customFormat="1" x14ac:dyDescent="0.2">
      <c r="A24" s="143"/>
      <c r="B24" s="136" t="s">
        <v>277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75"/>
      <c r="P24" s="1"/>
      <c r="Q24" s="143"/>
      <c r="R24" s="143"/>
      <c r="S24" s="143"/>
      <c r="T24" s="143"/>
      <c r="U24" s="143"/>
    </row>
    <row r="25" spans="1:21" s="162" customFormat="1" x14ac:dyDescent="0.2">
      <c r="A25" s="143"/>
      <c r="B25" s="284" t="s">
        <v>345</v>
      </c>
      <c r="C25" s="284"/>
      <c r="D25" s="284"/>
      <c r="E25" s="284"/>
      <c r="F25" s="284"/>
      <c r="G25" s="284"/>
      <c r="H25" s="284"/>
      <c r="I25" s="284"/>
      <c r="J25" s="143"/>
      <c r="K25" s="143"/>
      <c r="L25" s="143"/>
      <c r="M25" s="143"/>
      <c r="N25" s="143"/>
      <c r="O25" s="75"/>
      <c r="P25" s="1"/>
      <c r="Q25" s="143"/>
      <c r="R25" s="143"/>
      <c r="S25" s="143"/>
      <c r="T25" s="143"/>
      <c r="U25" s="143"/>
    </row>
    <row r="26" spans="1:21" x14ac:dyDescent="0.2">
      <c r="A26" s="4"/>
      <c r="B26" s="4"/>
      <c r="C26" s="143"/>
      <c r="E26" s="4"/>
      <c r="F26" s="4"/>
      <c r="G26" s="4"/>
      <c r="H26" s="4"/>
      <c r="I26" s="4"/>
      <c r="J26" s="4"/>
      <c r="K26" s="4"/>
      <c r="L26" s="4"/>
      <c r="M26" s="143"/>
      <c r="N26" s="143"/>
      <c r="O26" s="143"/>
      <c r="P26" s="143"/>
      <c r="Q26" s="143"/>
      <c r="R26" s="4"/>
      <c r="S26" s="143"/>
      <c r="T26" s="143"/>
      <c r="U26" s="4"/>
    </row>
    <row r="27" spans="1:21" x14ac:dyDescent="0.2">
      <c r="A27" s="4"/>
      <c r="B27" s="4"/>
      <c r="C27" s="143"/>
      <c r="D27" s="283" t="str">
        <f>"$ "&amp;Inflation!$D$4</f>
        <v>$ 2021</v>
      </c>
      <c r="E27" s="281"/>
      <c r="F27" s="281"/>
      <c r="G27" s="282"/>
      <c r="H27" s="177"/>
      <c r="I27" s="143"/>
      <c r="J27" s="4"/>
      <c r="K27" s="143"/>
      <c r="L27" s="4"/>
      <c r="M27" s="143"/>
      <c r="N27" s="143"/>
      <c r="O27" s="143"/>
      <c r="P27" s="143"/>
      <c r="Q27" s="143"/>
      <c r="R27" s="4"/>
      <c r="S27" s="4"/>
      <c r="T27" s="4"/>
      <c r="U27" s="4"/>
    </row>
    <row r="28" spans="1:21" ht="25.5" x14ac:dyDescent="0.2">
      <c r="A28" s="4"/>
      <c r="B28" s="3" t="s">
        <v>35</v>
      </c>
      <c r="C28" s="3" t="s">
        <v>75</v>
      </c>
      <c r="D28" s="3" t="s">
        <v>325</v>
      </c>
      <c r="E28" s="3" t="s">
        <v>326</v>
      </c>
      <c r="F28" s="3" t="s">
        <v>327</v>
      </c>
      <c r="G28" s="163" t="s">
        <v>328</v>
      </c>
      <c r="H28" s="113" t="s">
        <v>217</v>
      </c>
      <c r="I28" s="113" t="s">
        <v>275</v>
      </c>
      <c r="J28" s="143"/>
      <c r="K28" s="167"/>
      <c r="L28" s="167"/>
      <c r="M28" s="167"/>
      <c r="N28" s="167"/>
      <c r="O28" s="143"/>
      <c r="P28" s="143"/>
      <c r="Q28" s="4"/>
      <c r="R28" s="4"/>
      <c r="S28" s="4"/>
      <c r="T28" s="4"/>
    </row>
    <row r="29" spans="1:21" x14ac:dyDescent="0.2">
      <c r="A29" s="4"/>
      <c r="B29" s="210">
        <f t="shared" ref="B29:C42" si="1">IF(B9=0," ",B9)</f>
        <v>102</v>
      </c>
      <c r="C29" s="209" t="str">
        <f t="shared" si="1"/>
        <v>LV supplies to 63kVA</v>
      </c>
      <c r="D29" s="199">
        <f>D9*Inflation!H$10</f>
        <v>1237191.0284702622</v>
      </c>
      <c r="E29" s="199">
        <f>E9*Inflation!I$10</f>
        <v>1778522.1292186046</v>
      </c>
      <c r="F29" s="199">
        <f>F9*Inflation!J$10</f>
        <v>2787602.4552117866</v>
      </c>
      <c r="G29" s="199">
        <f>G9*Inflation!K$10</f>
        <v>3623657.2103170725</v>
      </c>
      <c r="H29" s="212">
        <v>1</v>
      </c>
      <c r="I29" s="201">
        <f t="shared" ref="I29:I37" si="2">IF(H29=1,0,1)</f>
        <v>0</v>
      </c>
      <c r="J29" s="143"/>
      <c r="K29" s="75"/>
      <c r="L29" s="75"/>
      <c r="M29" s="75"/>
      <c r="N29" s="75"/>
      <c r="O29" s="143"/>
      <c r="P29" s="143"/>
      <c r="Q29" s="4"/>
      <c r="R29" s="4"/>
      <c r="S29" s="4"/>
      <c r="T29" s="4"/>
    </row>
    <row r="30" spans="1:21" x14ac:dyDescent="0.2">
      <c r="A30" s="4"/>
      <c r="B30" s="210">
        <f t="shared" si="1"/>
        <v>104</v>
      </c>
      <c r="C30" s="209" t="str">
        <f t="shared" si="1"/>
        <v>Medium Density Developments</v>
      </c>
      <c r="D30" s="199">
        <f>D10*Inflation!H$10</f>
        <v>144.30086874409818</v>
      </c>
      <c r="E30" s="199">
        <f>E10*Inflation!I$10</f>
        <v>74557.168195348844</v>
      </c>
      <c r="F30" s="199">
        <f>F10*Inflation!J$10</f>
        <v>75835.880985263866</v>
      </c>
      <c r="G30" s="199">
        <f>G10*Inflation!K$10</f>
        <v>6795.4746702800376</v>
      </c>
      <c r="H30" s="212">
        <v>1</v>
      </c>
      <c r="I30" s="201">
        <f t="shared" si="2"/>
        <v>0</v>
      </c>
      <c r="J30" s="143"/>
      <c r="K30" s="75"/>
      <c r="L30" s="75"/>
      <c r="M30" s="75"/>
      <c r="N30" s="75"/>
      <c r="O30" s="143"/>
      <c r="P30" s="143"/>
      <c r="Q30" s="4"/>
      <c r="R30" s="4"/>
      <c r="S30" s="4"/>
      <c r="T30" s="4"/>
    </row>
    <row r="31" spans="1:21" x14ac:dyDescent="0.2">
      <c r="A31" s="4"/>
      <c r="B31" s="210">
        <f t="shared" si="1"/>
        <v>105</v>
      </c>
      <c r="C31" s="209" t="str">
        <f t="shared" si="1"/>
        <v>LV supplies &gt;63kVA to 200kVA</v>
      </c>
      <c r="D31" s="199">
        <f>D11*Inflation!H$10</f>
        <v>6608224.7573087811</v>
      </c>
      <c r="E31" s="199">
        <f>E11*Inflation!I$10</f>
        <v>6825448.8140186043</v>
      </c>
      <c r="F31" s="199">
        <f>F11*Inflation!J$10</f>
        <v>7188391.566832413</v>
      </c>
      <c r="G31" s="199">
        <f>G11*Inflation!K$10</f>
        <v>8227740.4618016072</v>
      </c>
      <c r="H31" s="212">
        <v>1</v>
      </c>
      <c r="I31" s="201">
        <f t="shared" si="2"/>
        <v>0</v>
      </c>
      <c r="J31" s="143"/>
      <c r="K31" s="75"/>
      <c r="L31" s="75"/>
      <c r="M31" s="75"/>
      <c r="N31" s="75"/>
      <c r="O31" s="143"/>
      <c r="P31" s="143"/>
      <c r="Q31" s="4"/>
      <c r="R31" s="4"/>
      <c r="S31" s="4"/>
      <c r="T31" s="4"/>
    </row>
    <row r="32" spans="1:21" x14ac:dyDescent="0.2">
      <c r="A32" s="4"/>
      <c r="B32" s="210">
        <f t="shared" si="1"/>
        <v>106</v>
      </c>
      <c r="C32" s="209" t="str">
        <f t="shared" si="1"/>
        <v>LV supplies &gt;200kVA to 500kVA</v>
      </c>
      <c r="D32" s="199">
        <f>D12*Inflation!H$10</f>
        <v>10273555.789376771</v>
      </c>
      <c r="E32" s="199">
        <f>E12*Inflation!I$10</f>
        <v>8699363.528083723</v>
      </c>
      <c r="F32" s="199">
        <f>F12*Inflation!J$10</f>
        <v>9378640.182771638</v>
      </c>
      <c r="G32" s="199">
        <f>G12*Inflation!K$10</f>
        <v>9803380.9449099898</v>
      </c>
      <c r="H32" s="212">
        <v>1</v>
      </c>
      <c r="I32" s="201">
        <f t="shared" si="2"/>
        <v>0</v>
      </c>
      <c r="J32" s="143"/>
      <c r="K32" s="75"/>
      <c r="L32" s="75"/>
      <c r="M32" s="75"/>
      <c r="N32" s="75"/>
      <c r="O32" s="143"/>
      <c r="P32" s="143"/>
      <c r="Q32" s="4"/>
      <c r="R32" s="4"/>
      <c r="S32" s="4"/>
      <c r="T32" s="4"/>
    </row>
    <row r="33" spans="1:21" x14ac:dyDescent="0.2">
      <c r="A33" s="4"/>
      <c r="B33" s="210">
        <f t="shared" si="1"/>
        <v>107</v>
      </c>
      <c r="C33" s="209" t="str">
        <f t="shared" si="1"/>
        <v>HV connection</v>
      </c>
      <c r="D33" s="199">
        <f>D13*Inflation!H$10</f>
        <v>3130443.0489423983</v>
      </c>
      <c r="E33" s="199">
        <f>E13*Inflation!I$10</f>
        <v>3500728.9769395352</v>
      </c>
      <c r="F33" s="199">
        <f>F13*Inflation!J$10</f>
        <v>2031751.7517403318</v>
      </c>
      <c r="G33" s="199">
        <f>G13*Inflation!K$10</f>
        <v>2922475.2002105257</v>
      </c>
      <c r="H33" s="212">
        <v>0</v>
      </c>
      <c r="I33" s="201">
        <f t="shared" si="2"/>
        <v>1</v>
      </c>
      <c r="J33" s="143"/>
      <c r="K33" s="75"/>
      <c r="L33" s="75"/>
      <c r="M33" s="75"/>
      <c r="N33" s="75"/>
      <c r="O33" s="143"/>
      <c r="P33" s="143"/>
      <c r="Q33" s="4"/>
      <c r="R33" s="4"/>
      <c r="S33" s="4"/>
      <c r="T33" s="4"/>
    </row>
    <row r="34" spans="1:21" x14ac:dyDescent="0.2">
      <c r="A34" s="4"/>
      <c r="B34" s="210">
        <f t="shared" si="1"/>
        <v>108</v>
      </c>
      <c r="C34" s="209" t="str">
        <f t="shared" si="1"/>
        <v>Business subdivisions</v>
      </c>
      <c r="D34" s="199">
        <f>D14*Inflation!H$10</f>
        <v>0</v>
      </c>
      <c r="E34" s="199">
        <f>E14*Inflation!I$10</f>
        <v>0</v>
      </c>
      <c r="F34" s="199">
        <f>F14*Inflation!J$10</f>
        <v>0</v>
      </c>
      <c r="G34" s="199">
        <f>G14*Inflation!K$10</f>
        <v>0</v>
      </c>
      <c r="H34" s="212">
        <v>1</v>
      </c>
      <c r="I34" s="201">
        <f t="shared" si="2"/>
        <v>0</v>
      </c>
      <c r="J34" s="143"/>
      <c r="K34" s="75"/>
      <c r="L34" s="75"/>
      <c r="M34" s="75"/>
      <c r="N34" s="75"/>
      <c r="O34" s="143"/>
      <c r="P34" s="143"/>
      <c r="Q34" s="4"/>
      <c r="R34" s="4"/>
      <c r="S34" s="4"/>
      <c r="T34" s="4"/>
    </row>
    <row r="35" spans="1:21" x14ac:dyDescent="0.2">
      <c r="A35" s="4"/>
      <c r="B35" s="210">
        <f t="shared" si="1"/>
        <v>109</v>
      </c>
      <c r="C35" s="209" t="str">
        <f t="shared" si="1"/>
        <v>Underground service pits</v>
      </c>
      <c r="D35" s="199">
        <f>D15*Inflation!H$10</f>
        <v>2283921.7476770538</v>
      </c>
      <c r="E35" s="199">
        <f>E15*Inflation!I$10</f>
        <v>5108223.6116279075</v>
      </c>
      <c r="F35" s="199">
        <f>F15*Inflation!J$10</f>
        <v>5856700.6890515657</v>
      </c>
      <c r="G35" s="199">
        <f>G15*Inflation!K$10</f>
        <v>7038306.3808360854</v>
      </c>
      <c r="H35" s="212">
        <v>1</v>
      </c>
      <c r="I35" s="201">
        <f t="shared" si="2"/>
        <v>0</v>
      </c>
      <c r="J35" s="143"/>
      <c r="K35" s="75"/>
      <c r="L35" s="75"/>
      <c r="M35" s="75"/>
      <c r="N35" s="75"/>
      <c r="O35" s="143"/>
      <c r="P35" s="143"/>
      <c r="Q35" s="4"/>
      <c r="R35" s="4"/>
      <c r="S35" s="4"/>
      <c r="T35" s="4"/>
    </row>
    <row r="36" spans="1:21" x14ac:dyDescent="0.2">
      <c r="A36" s="4"/>
      <c r="B36" s="210">
        <f t="shared" si="1"/>
        <v>110</v>
      </c>
      <c r="C36" s="209" t="str">
        <f t="shared" si="1"/>
        <v>Rural subdivisions</v>
      </c>
      <c r="D36" s="199">
        <f>D16*Inflation!H$10</f>
        <v>0</v>
      </c>
      <c r="E36" s="199">
        <f>E16*Inflation!I$10</f>
        <v>0</v>
      </c>
      <c r="F36" s="199">
        <f>F16*Inflation!J$10</f>
        <v>0</v>
      </c>
      <c r="G36" s="199">
        <f>G16*Inflation!K$10</f>
        <v>0</v>
      </c>
      <c r="H36" s="212">
        <v>1</v>
      </c>
      <c r="I36" s="201">
        <f t="shared" si="2"/>
        <v>0</v>
      </c>
      <c r="J36" s="143"/>
      <c r="K36" s="75"/>
      <c r="L36" s="75"/>
      <c r="M36" s="75"/>
      <c r="N36" s="75"/>
      <c r="O36" s="143"/>
      <c r="P36" s="143"/>
      <c r="Q36" s="4"/>
      <c r="R36" s="4"/>
      <c r="S36" s="4"/>
      <c r="T36" s="4"/>
    </row>
    <row r="37" spans="1:21" x14ac:dyDescent="0.2">
      <c r="A37" s="4"/>
      <c r="B37" s="210">
        <f t="shared" si="1"/>
        <v>111</v>
      </c>
      <c r="C37" s="209" t="str">
        <f t="shared" si="1"/>
        <v>LV supplies &gt;500kVA</v>
      </c>
      <c r="D37" s="199">
        <f>D17*Inflation!H$10</f>
        <v>23419589.788290836</v>
      </c>
      <c r="E37" s="199">
        <f>E17*Inflation!I$10</f>
        <v>19816587.671023257</v>
      </c>
      <c r="F37" s="199">
        <f>F17*Inflation!J$10</f>
        <v>23103041.918581955</v>
      </c>
      <c r="G37" s="199">
        <f>G17*Inflation!K$10</f>
        <v>27836716.111980598</v>
      </c>
      <c r="H37" s="213">
        <v>1</v>
      </c>
      <c r="I37" s="201">
        <f t="shared" si="2"/>
        <v>0</v>
      </c>
      <c r="J37" s="143"/>
      <c r="K37" s="75"/>
      <c r="L37" s="75"/>
      <c r="M37" s="75"/>
      <c r="N37" s="75"/>
      <c r="O37" s="143"/>
      <c r="P37" s="143"/>
      <c r="Q37" s="4"/>
      <c r="R37" s="4"/>
      <c r="S37" s="4"/>
      <c r="T37" s="4"/>
    </row>
    <row r="38" spans="1:21" x14ac:dyDescent="0.2">
      <c r="A38" s="4"/>
      <c r="B38" s="210">
        <f t="shared" si="1"/>
        <v>114</v>
      </c>
      <c r="C38" s="209" t="str">
        <f t="shared" si="1"/>
        <v>New Conn. Service/Materials</v>
      </c>
      <c r="D38" s="199">
        <f>D18*Inflation!H$10</f>
        <v>149800.17913125586</v>
      </c>
      <c r="E38" s="199">
        <f>E18*Inflation!I$10</f>
        <v>0</v>
      </c>
      <c r="F38" s="199">
        <f>F18*Inflation!J$10</f>
        <v>0</v>
      </c>
      <c r="G38" s="199">
        <f>G18*Inflation!K$10</f>
        <v>0</v>
      </c>
      <c r="H38" s="115"/>
      <c r="I38" s="115"/>
      <c r="J38" s="143"/>
      <c r="K38" s="75"/>
      <c r="L38" s="75"/>
      <c r="M38" s="75"/>
      <c r="N38" s="75"/>
      <c r="O38" s="143"/>
      <c r="P38" s="143"/>
      <c r="Q38" s="4"/>
      <c r="R38" s="4"/>
      <c r="S38" s="4"/>
      <c r="T38" s="4"/>
    </row>
    <row r="39" spans="1:21" x14ac:dyDescent="0.2">
      <c r="A39" s="4"/>
      <c r="B39" s="210">
        <f t="shared" si="1"/>
        <v>115</v>
      </c>
      <c r="C39" s="209" t="str">
        <f t="shared" si="1"/>
        <v>New Conn. Servicing Labour</v>
      </c>
      <c r="D39" s="199">
        <f>D19*Inflation!H$10</f>
        <v>1088298.3120868627</v>
      </c>
      <c r="E39" s="199">
        <f>E19*Inflation!I$10</f>
        <v>0</v>
      </c>
      <c r="F39" s="199">
        <f>F19*Inflation!J$10</f>
        <v>0</v>
      </c>
      <c r="G39" s="199">
        <f>G19*Inflation!K$10</f>
        <v>0</v>
      </c>
      <c r="H39" s="115"/>
      <c r="I39" s="115"/>
      <c r="J39" s="143"/>
      <c r="K39" s="75"/>
      <c r="L39" s="75"/>
      <c r="M39" s="75"/>
      <c r="N39" s="75"/>
      <c r="O39" s="143"/>
      <c r="P39" s="143"/>
      <c r="Q39" s="4"/>
      <c r="R39" s="4"/>
      <c r="S39" s="4"/>
      <c r="T39" s="4"/>
    </row>
    <row r="40" spans="1:21" x14ac:dyDescent="0.2">
      <c r="A40" s="4"/>
      <c r="B40" s="210">
        <f t="shared" si="1"/>
        <v>116</v>
      </c>
      <c r="C40" s="209" t="str">
        <f t="shared" si="1"/>
        <v>Recoverable Works</v>
      </c>
      <c r="D40" s="199">
        <f>D20*Inflation!H$10</f>
        <v>17486026.921775255</v>
      </c>
      <c r="E40" s="199">
        <f>E20*Inflation!I$10</f>
        <v>23497723.990251161</v>
      </c>
      <c r="F40" s="199">
        <f>F20*Inflation!J$10</f>
        <v>26158466.429769799</v>
      </c>
      <c r="G40" s="199">
        <f>G20*Inflation!K$10</f>
        <v>25822969.680028953</v>
      </c>
      <c r="H40" s="211">
        <v>1</v>
      </c>
      <c r="I40" s="201">
        <f>IF(H40=1,0,1)</f>
        <v>0</v>
      </c>
      <c r="J40" s="143"/>
      <c r="K40" s="75"/>
      <c r="L40" s="75"/>
      <c r="M40" s="75"/>
      <c r="N40" s="75"/>
      <c r="O40" s="143"/>
      <c r="P40" s="143"/>
      <c r="Q40" s="4"/>
      <c r="R40" s="4"/>
      <c r="S40" s="4"/>
      <c r="T40" s="4"/>
    </row>
    <row r="41" spans="1:21" x14ac:dyDescent="0.2">
      <c r="A41" s="4"/>
      <c r="B41" s="210">
        <f t="shared" si="1"/>
        <v>118</v>
      </c>
      <c r="C41" s="209" t="str">
        <f t="shared" si="1"/>
        <v xml:space="preserve">Co-generation projects </v>
      </c>
      <c r="D41" s="199">
        <f>D21*Inflation!H$10</f>
        <v>47574.650084985835</v>
      </c>
      <c r="E41" s="199">
        <f>E21*Inflation!I$10</f>
        <v>33639.164967441859</v>
      </c>
      <c r="F41" s="199">
        <f>F21*Inflation!J$10</f>
        <v>26611.929263351751</v>
      </c>
      <c r="G41" s="199">
        <f>G21*Inflation!K$10</f>
        <v>7645.5990969869927</v>
      </c>
      <c r="H41" s="212">
        <v>0</v>
      </c>
      <c r="I41" s="201">
        <f>IF(H41=1,0,1)</f>
        <v>1</v>
      </c>
      <c r="J41" s="143"/>
      <c r="K41" s="75"/>
      <c r="L41" s="75"/>
      <c r="M41" s="75"/>
      <c r="N41" s="75"/>
      <c r="O41" s="143"/>
      <c r="P41" s="143"/>
      <c r="Q41" s="4"/>
      <c r="R41" s="4"/>
      <c r="S41" s="4"/>
      <c r="T41" s="4"/>
    </row>
    <row r="42" spans="1:21" s="146" customFormat="1" x14ac:dyDescent="0.2">
      <c r="A42" s="143"/>
      <c r="B42" s="210">
        <f t="shared" si="1"/>
        <v>121</v>
      </c>
      <c r="C42" s="209" t="str">
        <f t="shared" si="1"/>
        <v>Docklands Supply projects</v>
      </c>
      <c r="D42" s="199">
        <f>D22*Inflation!H$10</f>
        <v>10287.737922568458</v>
      </c>
      <c r="E42" s="199">
        <f>E22*Inflation!I$10</f>
        <v>309905.14057674422</v>
      </c>
      <c r="F42" s="199">
        <f>F22*Inflation!J$10</f>
        <v>302335.30704419891</v>
      </c>
      <c r="G42" s="199">
        <f>G22*Inflation!K$10</f>
        <v>0</v>
      </c>
      <c r="H42" s="114"/>
      <c r="I42" s="171"/>
      <c r="J42" s="143"/>
      <c r="K42" s="75"/>
      <c r="L42" s="75"/>
      <c r="M42" s="75"/>
      <c r="N42" s="75"/>
      <c r="O42" s="143"/>
      <c r="P42" s="143"/>
      <c r="Q42" s="143"/>
      <c r="R42" s="143"/>
      <c r="S42" s="143"/>
      <c r="T42" s="143"/>
    </row>
    <row r="43" spans="1:21" x14ac:dyDescent="0.2">
      <c r="A43" s="4"/>
      <c r="C43" s="147" t="s">
        <v>36</v>
      </c>
      <c r="D43" s="184">
        <f t="shared" ref="D43:F43" si="3">SUM(D29:D42)</f>
        <v>65735058.261935778</v>
      </c>
      <c r="E43" s="184">
        <f t="shared" si="3"/>
        <v>69644700.194902331</v>
      </c>
      <c r="F43" s="184">
        <f t="shared" si="3"/>
        <v>76909378.111252293</v>
      </c>
      <c r="G43" s="184">
        <f>SUM(G29:G42)</f>
        <v>85289687.063852102</v>
      </c>
      <c r="H43" s="143"/>
      <c r="I43" s="4"/>
      <c r="J43" s="143"/>
      <c r="K43" s="4"/>
      <c r="L43" s="143"/>
      <c r="M43" s="143"/>
      <c r="N43" s="143"/>
      <c r="O43" s="143"/>
      <c r="P43" s="143"/>
      <c r="Q43" s="4"/>
      <c r="R43" s="4"/>
      <c r="S43" s="4"/>
      <c r="T43" s="4"/>
    </row>
    <row r="44" spans="1:21" x14ac:dyDescent="0.2">
      <c r="A44" s="4"/>
      <c r="B44" s="4"/>
      <c r="C44" s="143"/>
      <c r="D44" s="4"/>
      <c r="E44" s="4"/>
      <c r="F44" s="4"/>
      <c r="G44" s="4"/>
      <c r="H44" s="4"/>
      <c r="I44" s="4"/>
      <c r="J44" s="4"/>
      <c r="K44" s="143"/>
      <c r="L44" s="4"/>
      <c r="M44" s="143"/>
      <c r="N44" s="143"/>
      <c r="O44" s="143"/>
      <c r="P44" s="143"/>
      <c r="Q44" s="143"/>
      <c r="R44" s="4"/>
      <c r="S44" s="4"/>
      <c r="T44" s="4"/>
      <c r="U44" s="4"/>
    </row>
    <row r="45" spans="1:21" x14ac:dyDescent="0.2">
      <c r="A45" s="4"/>
      <c r="B45" s="4"/>
      <c r="C45" s="143"/>
      <c r="D45" s="150"/>
      <c r="E45" s="75"/>
      <c r="F45" s="152"/>
      <c r="G45" s="151"/>
      <c r="H45" s="4"/>
      <c r="I45" s="4"/>
      <c r="J45" s="4"/>
      <c r="K45" s="4"/>
      <c r="L45" s="4"/>
      <c r="M45" s="143"/>
      <c r="N45" s="143"/>
      <c r="O45" s="143"/>
      <c r="P45" s="143"/>
      <c r="Q45" s="143"/>
      <c r="R45" s="4"/>
      <c r="S45" s="4"/>
      <c r="T45" s="4"/>
      <c r="U45" s="4"/>
    </row>
    <row r="46" spans="1:21" s="137" customFormat="1" x14ac:dyDescent="0.2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75"/>
      <c r="N46" s="75"/>
      <c r="O46" s="75"/>
      <c r="P46" s="75"/>
      <c r="Q46" s="75"/>
      <c r="R46" s="143"/>
      <c r="S46" s="143"/>
      <c r="T46" s="143"/>
      <c r="U46" s="143"/>
    </row>
    <row r="47" spans="1:21" s="137" customFormat="1" x14ac:dyDescent="0.2">
      <c r="A47" s="143"/>
      <c r="B47" s="34" t="s">
        <v>329</v>
      </c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75"/>
      <c r="N47" s="75"/>
      <c r="O47" s="75"/>
      <c r="P47" s="75"/>
      <c r="Q47" s="75"/>
      <c r="R47" s="143"/>
      <c r="S47" s="143"/>
      <c r="T47" s="143"/>
      <c r="U47" s="143"/>
    </row>
    <row r="48" spans="1:21" s="137" customFormat="1" x14ac:dyDescent="0.2">
      <c r="A48" s="143"/>
      <c r="B48" s="111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75"/>
      <c r="N48" s="75"/>
      <c r="O48" s="75"/>
      <c r="P48" s="75"/>
      <c r="Q48" s="75"/>
      <c r="R48" s="143"/>
      <c r="S48" s="143"/>
      <c r="T48" s="143"/>
      <c r="U48" s="143"/>
    </row>
    <row r="49" spans="1:21" s="137" customFormat="1" ht="18" customHeight="1" x14ac:dyDescent="0.2">
      <c r="A49" s="143"/>
      <c r="B49" s="10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75"/>
      <c r="N49" s="75"/>
      <c r="O49" s="75"/>
      <c r="P49" s="75"/>
      <c r="Q49" s="75"/>
      <c r="R49" s="143"/>
      <c r="S49" s="143"/>
      <c r="T49" s="143"/>
      <c r="U49" s="143"/>
    </row>
    <row r="50" spans="1:21" s="137" customFormat="1" x14ac:dyDescent="0.2">
      <c r="A50" s="143"/>
      <c r="B50" s="143"/>
      <c r="C50" s="143"/>
      <c r="D50" s="280" t="s">
        <v>174</v>
      </c>
      <c r="E50" s="281"/>
      <c r="F50" s="281"/>
      <c r="G50" s="282"/>
      <c r="H50" s="177"/>
      <c r="I50" s="143"/>
      <c r="J50" s="143"/>
      <c r="K50" s="143"/>
      <c r="L50" s="143"/>
      <c r="M50" s="75"/>
      <c r="N50" s="75"/>
      <c r="O50" s="75"/>
      <c r="P50" s="75"/>
      <c r="Q50" s="75"/>
      <c r="R50" s="143"/>
      <c r="S50" s="143"/>
      <c r="T50" s="143"/>
      <c r="U50" s="143"/>
    </row>
    <row r="51" spans="1:21" s="137" customFormat="1" ht="38.25" x14ac:dyDescent="0.2">
      <c r="A51" s="143"/>
      <c r="B51" s="3" t="s">
        <v>32</v>
      </c>
      <c r="C51" s="3" t="s">
        <v>33</v>
      </c>
      <c r="D51" s="3" t="s">
        <v>325</v>
      </c>
      <c r="E51" s="3" t="s">
        <v>326</v>
      </c>
      <c r="F51" s="3" t="s">
        <v>327</v>
      </c>
      <c r="G51" s="163" t="s">
        <v>328</v>
      </c>
      <c r="H51" s="143"/>
      <c r="I51" s="143"/>
      <c r="J51" s="167"/>
      <c r="K51" s="167"/>
      <c r="L51" s="170"/>
      <c r="M51" s="170"/>
      <c r="N51" s="170"/>
      <c r="O51" s="75"/>
      <c r="P51" s="75"/>
      <c r="Q51" s="143"/>
      <c r="R51" s="143"/>
      <c r="S51" s="143"/>
      <c r="T51" s="143"/>
    </row>
    <row r="52" spans="1:21" s="137" customFormat="1" x14ac:dyDescent="0.2">
      <c r="A52" s="143"/>
      <c r="B52" s="279" t="s">
        <v>44</v>
      </c>
      <c r="C52" s="33" t="s">
        <v>199</v>
      </c>
      <c r="D52" s="191">
        <v>800490.11</v>
      </c>
      <c r="E52" s="205">
        <v>0</v>
      </c>
      <c r="F52" s="205">
        <v>0</v>
      </c>
      <c r="G52" s="205">
        <v>0</v>
      </c>
      <c r="H52" s="143"/>
      <c r="I52" s="143"/>
      <c r="J52" s="75"/>
      <c r="K52" s="75"/>
      <c r="L52" s="75"/>
      <c r="M52" s="75"/>
      <c r="N52" s="75"/>
      <c r="O52" s="75"/>
      <c r="P52" s="75"/>
      <c r="Q52" s="143"/>
      <c r="R52" s="143"/>
      <c r="S52" s="143"/>
      <c r="T52" s="143"/>
    </row>
    <row r="53" spans="1:21" s="137" customFormat="1" x14ac:dyDescent="0.2">
      <c r="A53" s="143"/>
      <c r="B53" s="279"/>
      <c r="C53" s="33" t="s">
        <v>200</v>
      </c>
      <c r="D53" s="205">
        <v>9373060.088750001</v>
      </c>
      <c r="E53" s="205">
        <v>12456454</v>
      </c>
      <c r="F53" s="205">
        <v>14424914</v>
      </c>
      <c r="G53" s="205">
        <v>17213481.969583649</v>
      </c>
      <c r="H53" s="143"/>
      <c r="I53" s="143"/>
      <c r="J53" s="75"/>
      <c r="K53" s="75"/>
      <c r="L53" s="75"/>
      <c r="M53" s="75"/>
      <c r="N53" s="75"/>
      <c r="O53" s="75"/>
      <c r="P53" s="75"/>
      <c r="Q53" s="143"/>
      <c r="R53" s="143"/>
      <c r="S53" s="143"/>
      <c r="T53" s="143"/>
    </row>
    <row r="54" spans="1:21" s="137" customFormat="1" x14ac:dyDescent="0.2">
      <c r="A54" s="143"/>
      <c r="B54" s="279"/>
      <c r="C54" s="33" t="s">
        <v>201</v>
      </c>
      <c r="D54" s="205">
        <v>20396916.575999998</v>
      </c>
      <c r="E54" s="205">
        <v>17747192.5</v>
      </c>
      <c r="F54" s="205">
        <v>20440727.5</v>
      </c>
      <c r="G54" s="205">
        <v>24091966.642033502</v>
      </c>
      <c r="H54" s="143"/>
      <c r="I54" s="143"/>
      <c r="J54" s="75"/>
      <c r="K54" s="75"/>
      <c r="L54" s="75"/>
      <c r="M54" s="75"/>
      <c r="N54" s="75"/>
      <c r="O54" s="75"/>
      <c r="P54" s="75"/>
      <c r="Q54" s="143"/>
      <c r="R54" s="143"/>
      <c r="S54" s="143"/>
      <c r="T54" s="143"/>
    </row>
    <row r="55" spans="1:21" s="137" customFormat="1" x14ac:dyDescent="0.2">
      <c r="A55" s="143"/>
      <c r="B55" s="279" t="s">
        <v>177</v>
      </c>
      <c r="C55" s="33" t="s">
        <v>199</v>
      </c>
      <c r="D55" s="205">
        <v>1940462.973</v>
      </c>
      <c r="E55" s="205">
        <v>1690105.5</v>
      </c>
      <c r="F55" s="205">
        <v>1978356.5</v>
      </c>
      <c r="G55" s="205">
        <v>2333142.1216412429</v>
      </c>
      <c r="H55" s="143"/>
      <c r="I55" s="143"/>
      <c r="J55" s="75"/>
      <c r="K55" s="75"/>
      <c r="L55" s="75"/>
      <c r="M55" s="75"/>
      <c r="N55" s="75"/>
      <c r="O55" s="75"/>
      <c r="P55" s="75"/>
      <c r="Q55" s="143"/>
      <c r="R55" s="143"/>
      <c r="S55" s="143"/>
      <c r="T55" s="143"/>
    </row>
    <row r="56" spans="1:21" s="137" customFormat="1" x14ac:dyDescent="0.2">
      <c r="A56" s="143"/>
      <c r="B56" s="279"/>
      <c r="C56" s="33" t="s">
        <v>202</v>
      </c>
      <c r="D56" s="205">
        <v>0</v>
      </c>
      <c r="E56" s="205">
        <v>0</v>
      </c>
      <c r="F56" s="205">
        <v>0</v>
      </c>
      <c r="G56" s="205">
        <v>0</v>
      </c>
      <c r="H56" s="143"/>
      <c r="I56" s="143"/>
      <c r="J56" s="75"/>
      <c r="K56" s="75"/>
      <c r="L56" s="75"/>
      <c r="M56" s="75"/>
      <c r="N56" s="75"/>
      <c r="O56" s="75"/>
      <c r="P56" s="75"/>
      <c r="Q56" s="143"/>
      <c r="R56" s="143"/>
      <c r="S56" s="143"/>
      <c r="T56" s="143"/>
    </row>
    <row r="57" spans="1:21" s="137" customFormat="1" x14ac:dyDescent="0.2">
      <c r="A57" s="143"/>
      <c r="B57" s="279"/>
      <c r="C57" s="33" t="s">
        <v>203</v>
      </c>
      <c r="D57" s="205">
        <v>8564976.9922499992</v>
      </c>
      <c r="E57" s="205">
        <v>7528411.5</v>
      </c>
      <c r="F57" s="205">
        <v>8668281</v>
      </c>
      <c r="G57" s="205">
        <v>10215531.322334377</v>
      </c>
      <c r="H57" s="143"/>
      <c r="I57" s="143"/>
      <c r="J57" s="75"/>
      <c r="K57" s="75"/>
      <c r="L57" s="75"/>
      <c r="M57" s="75"/>
      <c r="N57" s="75"/>
      <c r="O57" s="75"/>
      <c r="P57" s="75"/>
      <c r="Q57" s="143"/>
      <c r="R57" s="143"/>
      <c r="S57" s="143"/>
      <c r="T57" s="143"/>
    </row>
    <row r="58" spans="1:21" s="137" customFormat="1" x14ac:dyDescent="0.2">
      <c r="A58" s="143"/>
      <c r="B58" s="279"/>
      <c r="C58" s="33" t="s">
        <v>204</v>
      </c>
      <c r="D58" s="205">
        <v>2852959.71</v>
      </c>
      <c r="E58" s="205">
        <v>3238626</v>
      </c>
      <c r="F58" s="205">
        <v>1898866</v>
      </c>
      <c r="G58" s="205">
        <v>2784148.0607857588</v>
      </c>
      <c r="H58" s="143"/>
      <c r="I58" s="143"/>
      <c r="J58" s="75"/>
      <c r="K58" s="75"/>
      <c r="L58" s="75"/>
      <c r="M58" s="75"/>
      <c r="N58" s="75"/>
      <c r="O58" s="75"/>
      <c r="P58" s="75"/>
      <c r="Q58" s="143"/>
      <c r="R58" s="143"/>
      <c r="S58" s="143"/>
      <c r="T58" s="143"/>
    </row>
    <row r="59" spans="1:21" s="137" customFormat="1" x14ac:dyDescent="0.2">
      <c r="A59" s="143"/>
      <c r="B59" s="279"/>
      <c r="C59" s="33" t="s">
        <v>205</v>
      </c>
      <c r="D59" s="205">
        <v>0</v>
      </c>
      <c r="E59" s="205">
        <v>0</v>
      </c>
      <c r="F59" s="205">
        <v>0</v>
      </c>
      <c r="G59" s="205">
        <v>0</v>
      </c>
      <c r="H59" s="143"/>
      <c r="I59" s="143"/>
      <c r="J59" s="75"/>
      <c r="K59" s="75"/>
      <c r="L59" s="75"/>
      <c r="M59" s="75"/>
      <c r="N59" s="75"/>
      <c r="O59" s="75"/>
      <c r="P59" s="75"/>
      <c r="Q59" s="143"/>
      <c r="R59" s="143"/>
      <c r="S59" s="143"/>
      <c r="T59" s="143"/>
    </row>
    <row r="60" spans="1:21" s="137" customFormat="1" x14ac:dyDescent="0.2">
      <c r="A60" s="143"/>
      <c r="B60" s="279" t="s">
        <v>60</v>
      </c>
      <c r="C60" s="33" t="s">
        <v>200</v>
      </c>
      <c r="D60" s="205">
        <v>0</v>
      </c>
      <c r="E60" s="205">
        <v>0</v>
      </c>
      <c r="F60" s="205">
        <v>0</v>
      </c>
      <c r="G60" s="205">
        <v>0</v>
      </c>
      <c r="H60" s="143"/>
      <c r="I60" s="143"/>
      <c r="J60" s="75"/>
      <c r="K60" s="75"/>
      <c r="L60" s="75"/>
      <c r="M60" s="75"/>
      <c r="N60" s="75"/>
      <c r="O60" s="75"/>
      <c r="P60" s="75"/>
      <c r="Q60" s="143"/>
      <c r="R60" s="143"/>
      <c r="S60" s="143"/>
      <c r="T60" s="143"/>
    </row>
    <row r="61" spans="1:21" s="137" customFormat="1" x14ac:dyDescent="0.2">
      <c r="A61" s="143"/>
      <c r="B61" s="279"/>
      <c r="C61" s="33" t="s">
        <v>206</v>
      </c>
      <c r="D61" s="205">
        <v>0</v>
      </c>
      <c r="E61" s="205">
        <v>0</v>
      </c>
      <c r="F61" s="205">
        <v>0</v>
      </c>
      <c r="G61" s="205">
        <v>0</v>
      </c>
      <c r="H61" s="143"/>
      <c r="I61" s="143"/>
      <c r="J61" s="75"/>
      <c r="K61" s="75"/>
      <c r="L61" s="75"/>
      <c r="M61" s="75"/>
      <c r="N61" s="75"/>
      <c r="O61" s="75"/>
      <c r="P61" s="75"/>
      <c r="Q61" s="143"/>
      <c r="R61" s="143"/>
      <c r="S61" s="143"/>
      <c r="T61" s="143"/>
    </row>
    <row r="62" spans="1:21" s="137" customFormat="1" x14ac:dyDescent="0.2">
      <c r="A62" s="143"/>
      <c r="B62" s="279"/>
      <c r="C62" s="33" t="s">
        <v>207</v>
      </c>
      <c r="D62" s="205">
        <v>0</v>
      </c>
      <c r="E62" s="205">
        <v>0</v>
      </c>
      <c r="F62" s="205">
        <v>0</v>
      </c>
      <c r="G62" s="205">
        <v>6473.8300000000008</v>
      </c>
      <c r="H62" s="143"/>
      <c r="I62" s="143"/>
      <c r="J62" s="75"/>
      <c r="K62" s="75"/>
      <c r="L62" s="75"/>
      <c r="M62" s="75"/>
      <c r="N62" s="75"/>
      <c r="O62" s="75"/>
      <c r="P62" s="75"/>
      <c r="Q62" s="143"/>
      <c r="R62" s="143"/>
      <c r="S62" s="143"/>
      <c r="T62" s="143"/>
    </row>
    <row r="63" spans="1:21" s="137" customFormat="1" x14ac:dyDescent="0.2">
      <c r="A63" s="143"/>
      <c r="B63" s="279" t="s">
        <v>66</v>
      </c>
      <c r="C63" s="33" t="s">
        <v>199</v>
      </c>
      <c r="D63" s="205">
        <v>0</v>
      </c>
      <c r="E63" s="205">
        <v>0</v>
      </c>
      <c r="F63" s="205">
        <v>0</v>
      </c>
      <c r="G63" s="205">
        <v>0</v>
      </c>
      <c r="H63" s="143"/>
      <c r="I63" s="143"/>
      <c r="J63" s="75"/>
      <c r="K63" s="75"/>
      <c r="L63" s="75"/>
      <c r="M63" s="75"/>
      <c r="N63" s="75"/>
      <c r="O63" s="75"/>
      <c r="P63" s="75"/>
      <c r="Q63" s="143"/>
      <c r="R63" s="143"/>
      <c r="S63" s="143"/>
      <c r="T63" s="143"/>
    </row>
    <row r="64" spans="1:21" s="137" customFormat="1" x14ac:dyDescent="0.2">
      <c r="A64" s="143"/>
      <c r="B64" s="279"/>
      <c r="C64" s="33" t="s">
        <v>208</v>
      </c>
      <c r="D64" s="205">
        <v>43357.464999999997</v>
      </c>
      <c r="E64" s="205">
        <v>31120.5</v>
      </c>
      <c r="F64" s="205">
        <v>20430</v>
      </c>
      <c r="G64" s="205">
        <v>7283.716179315491</v>
      </c>
      <c r="H64" s="143"/>
      <c r="I64" s="143"/>
      <c r="J64" s="75"/>
      <c r="K64" s="75"/>
      <c r="L64" s="75"/>
      <c r="M64" s="75"/>
      <c r="N64" s="75"/>
      <c r="O64" s="75"/>
      <c r="P64" s="75"/>
      <c r="Q64" s="143"/>
      <c r="R64" s="143"/>
      <c r="S64" s="143"/>
      <c r="T64" s="143"/>
    </row>
    <row r="65" spans="1:21" s="137" customFormat="1" x14ac:dyDescent="0.2">
      <c r="A65" s="143"/>
      <c r="B65" s="279"/>
      <c r="C65" s="33" t="s">
        <v>209</v>
      </c>
      <c r="D65" s="205">
        <v>0</v>
      </c>
      <c r="E65" s="205">
        <v>0</v>
      </c>
      <c r="F65" s="205">
        <v>0</v>
      </c>
      <c r="G65" s="205">
        <v>0</v>
      </c>
      <c r="H65" s="143"/>
      <c r="I65" s="143"/>
      <c r="J65" s="75"/>
      <c r="K65" s="75"/>
      <c r="L65" s="75"/>
      <c r="M65" s="75"/>
      <c r="N65" s="75"/>
      <c r="O65" s="75"/>
      <c r="P65" s="75"/>
      <c r="Q65" s="143"/>
      <c r="R65" s="143"/>
      <c r="S65" s="143"/>
      <c r="T65" s="143"/>
    </row>
    <row r="66" spans="1:21" s="146" customFormat="1" x14ac:dyDescent="0.2">
      <c r="A66" s="143"/>
      <c r="B66" s="143"/>
      <c r="C66" s="147" t="s">
        <v>36</v>
      </c>
      <c r="D66" s="184">
        <f t="shared" ref="D66:G66" si="4">SUM(D52:D65)</f>
        <v>43972223.914999999</v>
      </c>
      <c r="E66" s="184">
        <f t="shared" si="4"/>
        <v>42691910</v>
      </c>
      <c r="F66" s="184">
        <f t="shared" si="4"/>
        <v>47431575</v>
      </c>
      <c r="G66" s="184">
        <f t="shared" si="4"/>
        <v>56652027.66255784</v>
      </c>
      <c r="H66" s="143"/>
      <c r="I66" s="141"/>
      <c r="J66" s="143"/>
      <c r="K66" s="143"/>
      <c r="L66" s="75"/>
      <c r="M66" s="75"/>
      <c r="N66" s="75"/>
      <c r="O66" s="75"/>
      <c r="P66" s="75"/>
      <c r="Q66" s="143"/>
      <c r="R66" s="143"/>
      <c r="S66" s="143"/>
      <c r="T66" s="143"/>
    </row>
    <row r="67" spans="1:21" s="146" customFormat="1" x14ac:dyDescent="0.2">
      <c r="A67" s="143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75"/>
      <c r="N67" s="75"/>
      <c r="O67" s="75"/>
      <c r="P67" s="75"/>
      <c r="Q67" s="75"/>
      <c r="R67" s="143"/>
      <c r="S67" s="143"/>
      <c r="T67" s="143"/>
      <c r="U67" s="143"/>
    </row>
    <row r="68" spans="1:21" s="146" customFormat="1" x14ac:dyDescent="0.2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75"/>
      <c r="N68" s="75"/>
      <c r="O68" s="75"/>
      <c r="P68" s="75"/>
      <c r="Q68" s="75"/>
      <c r="R68" s="143"/>
      <c r="S68" s="143"/>
      <c r="T68" s="143"/>
      <c r="U68" s="143"/>
    </row>
    <row r="69" spans="1:21" s="146" customFormat="1" x14ac:dyDescent="0.2">
      <c r="A69" s="143"/>
      <c r="B69" s="34" t="s">
        <v>301</v>
      </c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75"/>
      <c r="N69" s="75"/>
      <c r="O69" s="75"/>
      <c r="P69" s="75"/>
      <c r="Q69" s="75"/>
      <c r="R69" s="143"/>
      <c r="S69" s="143"/>
      <c r="T69" s="143"/>
      <c r="U69" s="143"/>
    </row>
    <row r="70" spans="1:21" s="146" customFormat="1" x14ac:dyDescent="0.2">
      <c r="A70" s="143"/>
      <c r="B70" s="111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75"/>
      <c r="N70" s="75"/>
      <c r="O70" s="75"/>
      <c r="P70" s="75"/>
      <c r="Q70" s="75"/>
      <c r="R70" s="143"/>
      <c r="S70" s="143"/>
      <c r="T70" s="143"/>
      <c r="U70" s="143"/>
    </row>
    <row r="71" spans="1:21" s="146" customFormat="1" ht="16.5" customHeight="1" x14ac:dyDescent="0.2">
      <c r="A71" s="143"/>
      <c r="B71" s="102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75"/>
      <c r="N71" s="75"/>
      <c r="O71" s="75"/>
      <c r="P71" s="75"/>
      <c r="Q71" s="75"/>
      <c r="R71" s="143"/>
      <c r="S71" s="143"/>
      <c r="T71" s="143"/>
      <c r="U71" s="143"/>
    </row>
    <row r="72" spans="1:21" s="146" customFormat="1" x14ac:dyDescent="0.2">
      <c r="A72" s="143"/>
      <c r="B72" s="143"/>
      <c r="C72" s="143"/>
      <c r="D72" s="280" t="s">
        <v>174</v>
      </c>
      <c r="E72" s="281"/>
      <c r="F72" s="281"/>
      <c r="G72" s="282"/>
      <c r="H72" s="177"/>
      <c r="I72" s="143"/>
      <c r="J72" s="143"/>
      <c r="K72" s="143"/>
      <c r="L72" s="143"/>
      <c r="M72" s="75"/>
      <c r="N72" s="75"/>
      <c r="O72" s="75"/>
      <c r="P72" s="75"/>
      <c r="Q72" s="75"/>
      <c r="R72" s="143"/>
      <c r="S72" s="143"/>
      <c r="T72" s="143"/>
      <c r="U72" s="143"/>
    </row>
    <row r="73" spans="1:21" s="146" customFormat="1" x14ac:dyDescent="0.2">
      <c r="A73" s="143"/>
      <c r="B73" s="3" t="s">
        <v>302</v>
      </c>
      <c r="C73" s="3" t="s">
        <v>303</v>
      </c>
      <c r="D73" s="3" t="s">
        <v>325</v>
      </c>
      <c r="E73" s="3" t="s">
        <v>326</v>
      </c>
      <c r="F73" s="3" t="s">
        <v>327</v>
      </c>
      <c r="G73" s="163" t="s">
        <v>328</v>
      </c>
      <c r="H73" s="143"/>
      <c r="I73" s="143"/>
      <c r="J73" s="143"/>
      <c r="K73" s="143"/>
      <c r="L73" s="75"/>
      <c r="M73" s="75"/>
      <c r="N73" s="75"/>
      <c r="O73" s="75"/>
      <c r="P73" s="75"/>
      <c r="Q73" s="143"/>
      <c r="R73" s="143"/>
      <c r="S73" s="143"/>
      <c r="T73" s="143"/>
    </row>
    <row r="74" spans="1:21" s="146" customFormat="1" x14ac:dyDescent="0.2">
      <c r="A74" s="143"/>
      <c r="B74" s="68" t="s">
        <v>304</v>
      </c>
      <c r="C74" s="101" t="s">
        <v>305</v>
      </c>
      <c r="D74" s="204">
        <v>15936060.679999996</v>
      </c>
      <c r="E74" s="204">
        <v>21738427.959999997</v>
      </c>
      <c r="F74" s="204">
        <v>24447585.609999999</v>
      </c>
      <c r="G74" s="204">
        <v>24600712.078994878</v>
      </c>
      <c r="H74" s="143"/>
      <c r="I74" s="143"/>
      <c r="J74" s="75"/>
      <c r="K74" s="75"/>
      <c r="L74" s="75"/>
      <c r="M74" s="75"/>
      <c r="N74" s="75"/>
      <c r="O74" s="75"/>
      <c r="P74" s="75"/>
      <c r="Q74" s="143"/>
      <c r="R74" s="143"/>
      <c r="S74" s="143"/>
      <c r="T74" s="143"/>
    </row>
    <row r="75" spans="1:21" s="146" customFormat="1" x14ac:dyDescent="0.2">
      <c r="A75" s="143"/>
      <c r="B75" s="143"/>
      <c r="C75" s="147" t="s">
        <v>36</v>
      </c>
      <c r="D75" s="184">
        <f>SUM(D74)</f>
        <v>15936060.679999996</v>
      </c>
      <c r="E75" s="184">
        <f t="shared" ref="E75:G75" si="5">SUM(E74)</f>
        <v>21738427.959999997</v>
      </c>
      <c r="F75" s="184">
        <f t="shared" si="5"/>
        <v>24447585.609999999</v>
      </c>
      <c r="G75" s="184">
        <f t="shared" si="5"/>
        <v>24600712.078994878</v>
      </c>
      <c r="H75" s="143"/>
      <c r="J75" s="143"/>
      <c r="K75" s="143"/>
      <c r="L75" s="75"/>
      <c r="M75" s="75"/>
      <c r="N75" s="75"/>
      <c r="O75" s="75"/>
      <c r="P75" s="75"/>
      <c r="Q75" s="143"/>
      <c r="R75" s="143"/>
      <c r="S75" s="143"/>
      <c r="T75" s="143"/>
    </row>
    <row r="76" spans="1:21" s="146" customFormat="1" x14ac:dyDescent="0.2">
      <c r="A76" s="143"/>
      <c r="B76" s="143"/>
      <c r="C76" s="143"/>
      <c r="D76" s="186">
        <f>D23-D66-D75</f>
        <v>0</v>
      </c>
      <c r="E76" s="186">
        <f>E23-E66-E75</f>
        <v>0</v>
      </c>
      <c r="F76" s="186">
        <f>F23-F66-F75</f>
        <v>0</v>
      </c>
      <c r="G76" s="186">
        <f>G23-G66-G75</f>
        <v>0</v>
      </c>
      <c r="H76" s="143"/>
      <c r="I76" s="143"/>
      <c r="J76" s="143"/>
      <c r="K76" s="143"/>
      <c r="L76" s="75"/>
      <c r="M76" s="75"/>
      <c r="N76" s="75"/>
      <c r="O76" s="75"/>
      <c r="P76" s="75"/>
      <c r="Q76" s="143"/>
      <c r="R76" s="143"/>
      <c r="S76" s="143"/>
      <c r="T76" s="143"/>
    </row>
    <row r="77" spans="1:21" s="146" customFormat="1" x14ac:dyDescent="0.2">
      <c r="A77" s="143"/>
      <c r="B77" s="143"/>
      <c r="C77" s="143"/>
      <c r="D77" s="75"/>
      <c r="E77" s="75"/>
      <c r="F77" s="75"/>
      <c r="G77" s="75"/>
      <c r="H77" s="75"/>
      <c r="I77" s="143"/>
      <c r="J77" s="143"/>
      <c r="K77" s="143"/>
      <c r="L77" s="143"/>
      <c r="M77" s="75"/>
      <c r="N77" s="75"/>
      <c r="O77" s="75"/>
      <c r="P77" s="75"/>
      <c r="Q77" s="75"/>
      <c r="R77" s="143"/>
      <c r="S77" s="143"/>
      <c r="T77" s="143"/>
      <c r="U77" s="143"/>
    </row>
    <row r="78" spans="1:21" s="146" customFormat="1" x14ac:dyDescent="0.2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75"/>
      <c r="N78" s="75"/>
      <c r="O78" s="75"/>
      <c r="P78" s="75"/>
      <c r="Q78" s="75"/>
      <c r="R78" s="143"/>
      <c r="S78" s="143"/>
      <c r="T78" s="143"/>
      <c r="U78" s="143"/>
    </row>
    <row r="79" spans="1:21" x14ac:dyDescent="0.2">
      <c r="A79" s="4"/>
      <c r="B79" s="143"/>
      <c r="C79" s="34"/>
      <c r="D79" s="143"/>
      <c r="E79" s="143"/>
      <c r="F79" s="143"/>
      <c r="G79" s="143"/>
      <c r="H79" s="143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x14ac:dyDescent="0.2">
      <c r="A80" s="4"/>
      <c r="B80" s="148"/>
      <c r="C80" s="148"/>
      <c r="D80" s="112"/>
      <c r="E80" s="102"/>
      <c r="F80" s="143"/>
      <c r="G80" s="143"/>
      <c r="H80" s="143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s="146" customFormat="1" ht="17.25" customHeight="1" x14ac:dyDescent="0.2">
      <c r="A81" s="143"/>
      <c r="B81" s="34" t="s">
        <v>198</v>
      </c>
      <c r="C81" s="148"/>
      <c r="D81" s="112"/>
      <c r="E81" s="102"/>
      <c r="F81" s="102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</row>
    <row r="82" spans="1:21" x14ac:dyDescent="0.2">
      <c r="A82" s="4"/>
      <c r="B82" s="4"/>
      <c r="C82" s="143"/>
      <c r="D82" s="280" t="s">
        <v>192</v>
      </c>
      <c r="E82" s="281"/>
      <c r="F82" s="281"/>
      <c r="G82" s="282"/>
      <c r="H82" s="17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38.25" x14ac:dyDescent="0.2">
      <c r="A83" s="4"/>
      <c r="B83" s="3" t="s">
        <v>35</v>
      </c>
      <c r="C83" s="3"/>
      <c r="D83" s="3" t="s">
        <v>325</v>
      </c>
      <c r="E83" s="3" t="s">
        <v>326</v>
      </c>
      <c r="F83" s="3" t="s">
        <v>327</v>
      </c>
      <c r="G83" s="163" t="s">
        <v>328</v>
      </c>
      <c r="H83" s="163" t="s">
        <v>332</v>
      </c>
      <c r="I83" s="143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1" x14ac:dyDescent="0.2">
      <c r="A84" s="4"/>
      <c r="B84" s="210">
        <f t="shared" ref="B84:C96" si="6">IF(B9=0," ",B9)</f>
        <v>102</v>
      </c>
      <c r="C84" s="209" t="str">
        <f t="shared" si="6"/>
        <v>LV supplies to 63kVA</v>
      </c>
      <c r="D84" s="204">
        <v>34.5</v>
      </c>
      <c r="E84" s="204">
        <v>37</v>
      </c>
      <c r="F84" s="204">
        <v>28</v>
      </c>
      <c r="G84" s="204">
        <v>18.368474865117442</v>
      </c>
      <c r="H84" s="208">
        <f>AVERAGE(D84:G84)</f>
        <v>29.467118716279359</v>
      </c>
      <c r="I84" s="143"/>
      <c r="J84" s="4"/>
      <c r="K84" s="75"/>
      <c r="L84" s="75"/>
      <c r="M84" s="75"/>
      <c r="N84" s="75"/>
      <c r="O84" s="75"/>
      <c r="P84" s="143"/>
      <c r="Q84" s="4"/>
      <c r="R84" s="4"/>
      <c r="S84" s="4"/>
      <c r="T84" s="4"/>
    </row>
    <row r="85" spans="1:21" x14ac:dyDescent="0.2">
      <c r="A85" s="4"/>
      <c r="B85" s="210">
        <f t="shared" si="6"/>
        <v>104</v>
      </c>
      <c r="C85" s="209" t="str">
        <f t="shared" si="6"/>
        <v>Medium Density Developments</v>
      </c>
      <c r="D85" s="204">
        <v>1.5</v>
      </c>
      <c r="E85" s="204">
        <v>2</v>
      </c>
      <c r="F85" s="204">
        <v>1</v>
      </c>
      <c r="G85" s="204">
        <v>0</v>
      </c>
      <c r="H85" s="208">
        <f t="shared" ref="H85:H92" si="7">AVERAGE(D85:G85)</f>
        <v>1.125</v>
      </c>
      <c r="I85" s="143"/>
      <c r="J85" s="4"/>
      <c r="K85" s="75"/>
      <c r="L85" s="75"/>
      <c r="M85" s="75"/>
      <c r="N85" s="75"/>
      <c r="O85" s="75"/>
      <c r="P85" s="143"/>
      <c r="Q85" s="4"/>
      <c r="R85" s="4"/>
      <c r="S85" s="4"/>
      <c r="T85" s="4"/>
    </row>
    <row r="86" spans="1:21" x14ac:dyDescent="0.2">
      <c r="A86" s="4"/>
      <c r="B86" s="210">
        <f t="shared" si="6"/>
        <v>105</v>
      </c>
      <c r="C86" s="209" t="str">
        <f t="shared" si="6"/>
        <v>LV supplies &gt;63kVA to 200kVA</v>
      </c>
      <c r="D86" s="204">
        <v>62</v>
      </c>
      <c r="E86" s="204">
        <v>77</v>
      </c>
      <c r="F86" s="204">
        <v>145</v>
      </c>
      <c r="G86" s="204">
        <v>214.1914765738984</v>
      </c>
      <c r="H86" s="208">
        <f t="shared" si="7"/>
        <v>124.5478691434746</v>
      </c>
      <c r="I86" s="143"/>
      <c r="J86" s="4"/>
      <c r="K86" s="75"/>
      <c r="L86" s="75"/>
      <c r="M86" s="75"/>
      <c r="N86" s="75"/>
      <c r="O86" s="75"/>
      <c r="P86" s="143"/>
      <c r="Q86" s="4"/>
      <c r="R86" s="4"/>
      <c r="S86" s="4"/>
      <c r="T86" s="4"/>
    </row>
    <row r="87" spans="1:21" x14ac:dyDescent="0.2">
      <c r="A87" s="4"/>
      <c r="B87" s="210">
        <f t="shared" si="6"/>
        <v>106</v>
      </c>
      <c r="C87" s="209" t="str">
        <f t="shared" si="6"/>
        <v>LV supplies &gt;200kVA to 500kVA</v>
      </c>
      <c r="D87" s="204">
        <v>47.5</v>
      </c>
      <c r="E87" s="204">
        <v>52</v>
      </c>
      <c r="F87" s="204">
        <v>74</v>
      </c>
      <c r="G87" s="204">
        <v>82.211082716867324</v>
      </c>
      <c r="H87" s="208">
        <f>AVERAGE(D87:G87)</f>
        <v>63.927770679216835</v>
      </c>
      <c r="I87" s="143"/>
      <c r="J87" s="4"/>
      <c r="K87" s="75"/>
      <c r="L87" s="75"/>
      <c r="M87" s="75"/>
      <c r="N87" s="75"/>
      <c r="O87" s="75"/>
      <c r="P87" s="143"/>
      <c r="Q87" s="4"/>
      <c r="R87" s="4"/>
      <c r="S87" s="4"/>
      <c r="T87" s="4"/>
    </row>
    <row r="88" spans="1:21" x14ac:dyDescent="0.2">
      <c r="A88" s="4"/>
      <c r="B88" s="210">
        <f t="shared" si="6"/>
        <v>107</v>
      </c>
      <c r="C88" s="209" t="str">
        <f t="shared" si="6"/>
        <v>HV connection</v>
      </c>
      <c r="D88" s="204">
        <v>2</v>
      </c>
      <c r="E88" s="204">
        <v>3</v>
      </c>
      <c r="F88" s="204">
        <v>2.5</v>
      </c>
      <c r="G88" s="204">
        <v>4.065809573851352</v>
      </c>
      <c r="H88" s="208">
        <f t="shared" si="7"/>
        <v>2.891452393462838</v>
      </c>
      <c r="I88" s="143"/>
      <c r="J88" s="4"/>
      <c r="K88" s="75"/>
      <c r="L88" s="75"/>
      <c r="M88" s="75"/>
      <c r="N88" s="75"/>
      <c r="O88" s="75"/>
      <c r="P88" s="143"/>
      <c r="Q88" s="4"/>
      <c r="R88" s="4"/>
      <c r="S88" s="4"/>
      <c r="T88" s="4"/>
    </row>
    <row r="89" spans="1:21" x14ac:dyDescent="0.2">
      <c r="A89" s="4"/>
      <c r="B89" s="210">
        <f t="shared" si="6"/>
        <v>108</v>
      </c>
      <c r="C89" s="209" t="str">
        <f t="shared" si="6"/>
        <v>Business subdivisions</v>
      </c>
      <c r="D89" s="204">
        <v>0</v>
      </c>
      <c r="E89" s="204">
        <v>0</v>
      </c>
      <c r="F89" s="204">
        <v>0</v>
      </c>
      <c r="G89" s="204">
        <v>0</v>
      </c>
      <c r="H89" s="208">
        <f t="shared" si="7"/>
        <v>0</v>
      </c>
      <c r="I89" s="143"/>
      <c r="J89" s="143"/>
      <c r="K89" s="75"/>
      <c r="L89" s="75"/>
      <c r="M89" s="75"/>
      <c r="N89" s="75"/>
      <c r="O89" s="75"/>
      <c r="P89" s="143"/>
      <c r="Q89" s="4"/>
      <c r="R89" s="4"/>
      <c r="S89" s="4"/>
      <c r="T89" s="4"/>
    </row>
    <row r="90" spans="1:21" x14ac:dyDescent="0.2">
      <c r="A90" s="4"/>
      <c r="B90" s="210">
        <f t="shared" si="6"/>
        <v>109</v>
      </c>
      <c r="C90" s="209" t="str">
        <f t="shared" si="6"/>
        <v>Underground service pits</v>
      </c>
      <c r="D90" s="204">
        <v>238</v>
      </c>
      <c r="E90" s="204">
        <v>476.5</v>
      </c>
      <c r="F90" s="204">
        <v>548.5</v>
      </c>
      <c r="G90" s="204">
        <v>813.54690303088523</v>
      </c>
      <c r="H90" s="208">
        <f>AVERAGE(E90:G90)</f>
        <v>612.84896767696171</v>
      </c>
      <c r="I90" s="141" t="s">
        <v>330</v>
      </c>
      <c r="J90" s="138"/>
      <c r="K90" s="75"/>
      <c r="L90" s="75"/>
      <c r="M90" s="75"/>
      <c r="N90" s="75"/>
      <c r="O90" s="75"/>
      <c r="P90" s="143"/>
      <c r="Q90" s="4"/>
      <c r="R90" s="4"/>
      <c r="S90" s="4"/>
      <c r="T90" s="4"/>
    </row>
    <row r="91" spans="1:21" x14ac:dyDescent="0.2">
      <c r="A91" s="4"/>
      <c r="B91" s="210">
        <f t="shared" si="6"/>
        <v>110</v>
      </c>
      <c r="C91" s="209" t="str">
        <f t="shared" si="6"/>
        <v>Rural subdivisions</v>
      </c>
      <c r="D91" s="204">
        <v>0</v>
      </c>
      <c r="E91" s="204">
        <v>0</v>
      </c>
      <c r="F91" s="204">
        <v>0</v>
      </c>
      <c r="G91" s="204">
        <v>0</v>
      </c>
      <c r="H91" s="208">
        <f t="shared" si="7"/>
        <v>0</v>
      </c>
      <c r="I91" s="143"/>
      <c r="J91" s="143"/>
      <c r="K91" s="75"/>
      <c r="L91" s="75"/>
      <c r="M91" s="75"/>
      <c r="N91" s="75"/>
      <c r="O91" s="75"/>
      <c r="P91" s="143"/>
      <c r="Q91" s="4"/>
      <c r="R91" s="4"/>
      <c r="S91" s="4"/>
      <c r="T91" s="4"/>
    </row>
    <row r="92" spans="1:21" x14ac:dyDescent="0.2">
      <c r="A92" s="4"/>
      <c r="B92" s="210">
        <f t="shared" si="6"/>
        <v>111</v>
      </c>
      <c r="C92" s="209" t="str">
        <f t="shared" si="6"/>
        <v>LV supplies &gt;500kVA</v>
      </c>
      <c r="D92" s="204">
        <v>56.5</v>
      </c>
      <c r="E92" s="204">
        <v>45</v>
      </c>
      <c r="F92" s="204">
        <v>125.5</v>
      </c>
      <c r="G92" s="204">
        <v>206.66700313442067</v>
      </c>
      <c r="H92" s="208">
        <f t="shared" si="7"/>
        <v>108.41675078360517</v>
      </c>
      <c r="I92" s="143"/>
      <c r="J92" s="4"/>
      <c r="K92" s="75"/>
      <c r="L92" s="75"/>
      <c r="M92" s="75"/>
      <c r="N92" s="75"/>
      <c r="O92" s="75"/>
      <c r="P92" s="143"/>
      <c r="Q92" s="4"/>
      <c r="R92" s="4"/>
      <c r="S92" s="4"/>
      <c r="T92" s="4"/>
    </row>
    <row r="93" spans="1:21" x14ac:dyDescent="0.2">
      <c r="A93" s="4"/>
      <c r="B93" s="210">
        <f t="shared" si="6"/>
        <v>114</v>
      </c>
      <c r="C93" s="209" t="str">
        <f t="shared" si="6"/>
        <v>New Conn. Service/Materials</v>
      </c>
      <c r="D93" s="204">
        <v>664.5</v>
      </c>
      <c r="E93" s="204">
        <v>0</v>
      </c>
      <c r="F93" s="204">
        <v>0</v>
      </c>
      <c r="G93" s="204">
        <v>0</v>
      </c>
      <c r="H93" s="149"/>
      <c r="I93" s="138" t="s">
        <v>297</v>
      </c>
      <c r="J93" s="143"/>
      <c r="K93" s="75"/>
      <c r="L93" s="75"/>
      <c r="M93" s="75"/>
      <c r="N93" s="75"/>
      <c r="O93" s="75"/>
      <c r="P93" s="143"/>
      <c r="Q93" s="4"/>
      <c r="R93" s="4"/>
      <c r="S93" s="4"/>
      <c r="T93" s="4"/>
    </row>
    <row r="94" spans="1:21" x14ac:dyDescent="0.2">
      <c r="A94" s="4"/>
      <c r="B94" s="210">
        <f t="shared" si="6"/>
        <v>115</v>
      </c>
      <c r="C94" s="209" t="str">
        <f t="shared" si="6"/>
        <v>New Conn. Servicing Labour</v>
      </c>
      <c r="D94" s="204">
        <v>1668.5</v>
      </c>
      <c r="E94" s="204">
        <v>0</v>
      </c>
      <c r="F94" s="204">
        <v>0</v>
      </c>
      <c r="G94" s="204">
        <v>0</v>
      </c>
      <c r="H94" s="149"/>
      <c r="I94" s="138" t="s">
        <v>297</v>
      </c>
      <c r="J94" s="143"/>
      <c r="K94" s="75"/>
      <c r="L94" s="75"/>
      <c r="M94" s="75"/>
      <c r="N94" s="75"/>
      <c r="O94" s="75"/>
      <c r="P94" s="143"/>
      <c r="Q94" s="4"/>
      <c r="R94" s="4"/>
      <c r="S94" s="4"/>
      <c r="T94" s="4"/>
    </row>
    <row r="95" spans="1:21" x14ac:dyDescent="0.2">
      <c r="A95" s="4"/>
      <c r="B95" s="210">
        <f t="shared" si="6"/>
        <v>116</v>
      </c>
      <c r="C95" s="209" t="str">
        <f t="shared" si="6"/>
        <v>Recoverable Works</v>
      </c>
      <c r="D95" s="204">
        <v>273.45500000000004</v>
      </c>
      <c r="E95" s="204">
        <v>228.45500000000001</v>
      </c>
      <c r="F95" s="204">
        <v>233</v>
      </c>
      <c r="G95" s="204">
        <v>263.67532996955208</v>
      </c>
      <c r="H95" s="208">
        <f>AVERAGE(D95:G95)</f>
        <v>249.64633249238804</v>
      </c>
      <c r="I95" s="143"/>
      <c r="J95" s="143"/>
      <c r="K95" s="75"/>
      <c r="L95" s="75"/>
      <c r="M95" s="75"/>
      <c r="N95" s="75"/>
      <c r="O95" s="75"/>
      <c r="P95" s="143"/>
      <c r="Q95" s="4"/>
      <c r="R95" s="4"/>
      <c r="S95" s="4"/>
      <c r="T95" s="4"/>
    </row>
    <row r="96" spans="1:21" x14ac:dyDescent="0.2">
      <c r="A96" s="4"/>
      <c r="B96" s="210">
        <f t="shared" si="6"/>
        <v>118</v>
      </c>
      <c r="C96" s="209" t="str">
        <f t="shared" si="6"/>
        <v xml:space="preserve">Co-generation projects </v>
      </c>
      <c r="D96" s="204">
        <v>0.5</v>
      </c>
      <c r="E96" s="204">
        <v>0.5</v>
      </c>
      <c r="F96" s="204">
        <v>0.5</v>
      </c>
      <c r="G96" s="204">
        <v>0</v>
      </c>
      <c r="H96" s="208">
        <f t="shared" ref="H96" si="8">AVERAGE(D96:G96)</f>
        <v>0.375</v>
      </c>
      <c r="I96" s="143"/>
      <c r="J96" s="143"/>
      <c r="K96" s="75"/>
      <c r="L96" s="75"/>
      <c r="M96" s="75"/>
      <c r="N96" s="75"/>
      <c r="O96" s="75"/>
      <c r="P96" s="143"/>
      <c r="Q96" s="4"/>
      <c r="R96" s="4"/>
      <c r="S96" s="4"/>
      <c r="T96" s="4"/>
    </row>
    <row r="97" spans="1:21" x14ac:dyDescent="0.2">
      <c r="A97" s="4"/>
      <c r="B97" s="143"/>
      <c r="C97" s="147" t="s">
        <v>36</v>
      </c>
      <c r="D97" s="184">
        <f t="shared" ref="D97:G97" si="9">SUM(D84:D96)</f>
        <v>3048.9549999999999</v>
      </c>
      <c r="E97" s="184">
        <f t="shared" si="9"/>
        <v>921.45500000000004</v>
      </c>
      <c r="F97" s="184">
        <f t="shared" si="9"/>
        <v>1158</v>
      </c>
      <c r="G97" s="184">
        <f t="shared" si="9"/>
        <v>1602.7260798645925</v>
      </c>
      <c r="H97" s="184">
        <f>SUM(H84:H96)</f>
        <v>1193.2462618853885</v>
      </c>
      <c r="I97" s="143"/>
      <c r="J97" s="143"/>
      <c r="K97" s="4"/>
      <c r="L97" s="75"/>
      <c r="M97" s="116"/>
      <c r="N97" s="143"/>
      <c r="O97" s="143"/>
      <c r="P97" s="143"/>
      <c r="Q97" s="4"/>
      <c r="R97" s="4"/>
      <c r="S97" s="4"/>
      <c r="T97" s="4"/>
    </row>
    <row r="98" spans="1:21" x14ac:dyDescent="0.2">
      <c r="A98" s="4"/>
      <c r="B98" s="143"/>
      <c r="C98" s="159" t="s">
        <v>230</v>
      </c>
      <c r="D98" s="206">
        <f>D125+D134</f>
        <v>3048.9549999999999</v>
      </c>
      <c r="E98" s="206">
        <f>E125+E134</f>
        <v>921.45500000000004</v>
      </c>
      <c r="F98" s="206">
        <f>F125+F134</f>
        <v>1158</v>
      </c>
      <c r="G98" s="206">
        <f>G125+G134</f>
        <v>1602.7260798645925</v>
      </c>
      <c r="H98" s="4"/>
      <c r="I98" s="143"/>
      <c r="J98" s="4"/>
      <c r="K98" s="4"/>
      <c r="L98" s="4"/>
      <c r="M98" s="116"/>
      <c r="N98" s="116"/>
      <c r="O98" s="116"/>
      <c r="P98" s="116"/>
      <c r="Q98" s="4"/>
      <c r="R98" s="4"/>
      <c r="S98" s="4"/>
      <c r="T98" s="4"/>
    </row>
    <row r="99" spans="1:21" x14ac:dyDescent="0.2">
      <c r="A99" s="4"/>
      <c r="B99" s="143"/>
      <c r="C99" s="160" t="s">
        <v>231</v>
      </c>
      <c r="D99" s="207">
        <f t="shared" ref="D99:F99" si="10">ROUND(D98/(D97)-1,0)</f>
        <v>0</v>
      </c>
      <c r="E99" s="207">
        <f t="shared" si="10"/>
        <v>0</v>
      </c>
      <c r="F99" s="207">
        <f t="shared" si="10"/>
        <v>0</v>
      </c>
      <c r="G99" s="207">
        <f>ROUND(G98/(G97)-1,0)</f>
        <v>0</v>
      </c>
      <c r="H99" s="143"/>
      <c r="I99" s="143"/>
      <c r="J99" s="48"/>
      <c r="K99" s="4"/>
      <c r="L99" s="75"/>
      <c r="M99" s="75"/>
      <c r="N99" s="75"/>
      <c r="O99" s="75"/>
      <c r="P99" s="4"/>
      <c r="Q99" s="4"/>
      <c r="R99" s="4"/>
      <c r="S99" s="4"/>
      <c r="T99" s="4"/>
    </row>
    <row r="100" spans="1:21" x14ac:dyDescent="0.2">
      <c r="A100" s="4"/>
      <c r="B100" s="4"/>
      <c r="C100" s="143"/>
      <c r="D100" s="4"/>
      <c r="E100" s="4"/>
      <c r="F100" s="4"/>
      <c r="G100" s="4"/>
      <c r="H100" s="4"/>
      <c r="I100" s="143"/>
      <c r="J100" s="143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2">
      <c r="A101" s="4"/>
      <c r="B101" s="136" t="s">
        <v>281</v>
      </c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4"/>
      <c r="P101" s="4"/>
      <c r="Q101" s="4"/>
      <c r="R101" s="4"/>
      <c r="S101" s="4"/>
      <c r="T101" s="4"/>
      <c r="U101" s="4"/>
    </row>
    <row r="102" spans="1:21" s="146" customFormat="1" x14ac:dyDescent="0.2">
      <c r="A102" s="143"/>
      <c r="B102" s="284" t="s">
        <v>331</v>
      </c>
      <c r="C102" s="284"/>
      <c r="D102" s="284"/>
      <c r="E102" s="284"/>
      <c r="F102" s="284"/>
      <c r="G102" s="284"/>
      <c r="H102" s="284"/>
      <c r="I102" s="284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</row>
    <row r="103" spans="1:21" s="146" customFormat="1" x14ac:dyDescent="0.2">
      <c r="A103" s="143"/>
      <c r="B103" s="285"/>
      <c r="C103" s="286"/>
      <c r="D103" s="286"/>
      <c r="E103" s="286"/>
      <c r="F103" s="286"/>
      <c r="G103" s="286"/>
      <c r="H103" s="286"/>
      <c r="I103" s="287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</row>
    <row r="104" spans="1:21" s="146" customFormat="1" x14ac:dyDescent="0.2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</row>
    <row r="105" spans="1:21" s="146" customFormat="1" x14ac:dyDescent="0.2">
      <c r="A105" s="143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</row>
    <row r="106" spans="1:21" x14ac:dyDescent="0.2">
      <c r="A106" s="4"/>
      <c r="B106" s="34" t="s">
        <v>295</v>
      </c>
      <c r="C106" s="143"/>
      <c r="D106" s="143"/>
      <c r="E106" s="143"/>
      <c r="F106" s="143"/>
      <c r="G106" s="143"/>
      <c r="H106" s="143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2">
      <c r="A107" s="4"/>
      <c r="B107" s="148"/>
      <c r="C107" s="143"/>
      <c r="D107" s="143"/>
      <c r="E107" s="143"/>
      <c r="F107" s="143"/>
      <c r="G107" s="143"/>
      <c r="H107" s="143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9.5" customHeight="1" x14ac:dyDescent="0.2">
      <c r="A108" s="4"/>
      <c r="B108" s="102"/>
      <c r="C108" s="143"/>
      <c r="D108" s="143"/>
      <c r="E108" s="143"/>
      <c r="F108" s="143"/>
      <c r="G108" s="143"/>
      <c r="H108" s="143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2">
      <c r="A109" s="4"/>
      <c r="B109" s="143"/>
      <c r="C109" s="143"/>
      <c r="D109" s="280" t="s">
        <v>192</v>
      </c>
      <c r="E109" s="281"/>
      <c r="F109" s="281"/>
      <c r="G109" s="282"/>
      <c r="H109" s="17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38.25" x14ac:dyDescent="0.2">
      <c r="A110" s="143"/>
      <c r="B110" s="3" t="s">
        <v>32</v>
      </c>
      <c r="C110" s="3" t="s">
        <v>33</v>
      </c>
      <c r="D110" s="3" t="s">
        <v>325</v>
      </c>
      <c r="E110" s="3" t="s">
        <v>326</v>
      </c>
      <c r="F110" s="3" t="s">
        <v>327</v>
      </c>
      <c r="G110" s="163" t="s">
        <v>328</v>
      </c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4"/>
    </row>
    <row r="111" spans="1:21" x14ac:dyDescent="0.2">
      <c r="A111" s="143"/>
      <c r="B111" s="279" t="s">
        <v>44</v>
      </c>
      <c r="C111" s="33" t="s">
        <v>199</v>
      </c>
      <c r="D111" s="205">
        <v>1668.5</v>
      </c>
      <c r="E111" s="205">
        <v>0</v>
      </c>
      <c r="F111" s="205">
        <v>0</v>
      </c>
      <c r="G111" s="205">
        <v>0</v>
      </c>
      <c r="I111" s="143"/>
      <c r="J111" s="116"/>
      <c r="K111" s="143"/>
      <c r="L111" s="143"/>
      <c r="M111" s="143"/>
      <c r="N111" s="143"/>
      <c r="O111" s="143"/>
      <c r="P111" s="143"/>
      <c r="Q111" s="143"/>
      <c r="R111" s="143"/>
      <c r="S111" s="143"/>
      <c r="T111" s="4"/>
    </row>
    <row r="112" spans="1:21" s="4" customFormat="1" x14ac:dyDescent="0.2">
      <c r="A112" s="143"/>
      <c r="B112" s="279"/>
      <c r="C112" s="33" t="s">
        <v>200</v>
      </c>
      <c r="D112" s="205">
        <v>322</v>
      </c>
      <c r="E112" s="205">
        <v>575.5</v>
      </c>
      <c r="F112" s="205">
        <v>695</v>
      </c>
      <c r="G112" s="205">
        <v>1005.3275068967764</v>
      </c>
      <c r="I112" s="143"/>
      <c r="J112" s="116"/>
      <c r="K112" s="143"/>
      <c r="L112" s="143"/>
      <c r="M112" s="143"/>
      <c r="N112" s="143"/>
      <c r="O112" s="143"/>
      <c r="P112" s="143"/>
      <c r="Q112" s="143"/>
      <c r="R112" s="143"/>
      <c r="S112" s="143"/>
    </row>
    <row r="113" spans="1:20" s="4" customFormat="1" x14ac:dyDescent="0.2">
      <c r="A113" s="143"/>
      <c r="B113" s="279"/>
      <c r="C113" s="33" t="s">
        <v>201</v>
      </c>
      <c r="D113" s="205">
        <v>69.5</v>
      </c>
      <c r="E113" s="205">
        <v>64</v>
      </c>
      <c r="F113" s="205">
        <v>136</v>
      </c>
      <c r="G113" s="205">
        <v>200.5925715170664</v>
      </c>
      <c r="I113" s="143"/>
      <c r="J113" s="116"/>
      <c r="K113" s="143"/>
      <c r="L113" s="143"/>
      <c r="M113" s="143"/>
      <c r="N113" s="143"/>
      <c r="O113" s="143"/>
      <c r="P113" s="143"/>
      <c r="Q113" s="143"/>
      <c r="R113" s="143"/>
      <c r="S113" s="143"/>
    </row>
    <row r="114" spans="1:20" s="4" customFormat="1" x14ac:dyDescent="0.2">
      <c r="A114" s="143"/>
      <c r="B114" s="279" t="s">
        <v>177</v>
      </c>
      <c r="C114" s="33" t="s">
        <v>199</v>
      </c>
      <c r="D114" s="205">
        <v>683.5</v>
      </c>
      <c r="E114" s="205">
        <v>22</v>
      </c>
      <c r="F114" s="205">
        <v>31</v>
      </c>
      <c r="G114" s="205">
        <v>39.912970594951609</v>
      </c>
      <c r="H114" s="143"/>
      <c r="I114" s="143"/>
      <c r="J114" s="116"/>
      <c r="K114" s="143"/>
      <c r="L114" s="143"/>
      <c r="M114" s="143"/>
      <c r="N114" s="143"/>
      <c r="O114" s="76"/>
      <c r="P114" s="143"/>
      <c r="Q114" s="143"/>
      <c r="R114" s="143"/>
      <c r="S114" s="143"/>
    </row>
    <row r="115" spans="1:20" x14ac:dyDescent="0.2">
      <c r="A115" s="143"/>
      <c r="B115" s="279"/>
      <c r="C115" s="33" t="s">
        <v>202</v>
      </c>
      <c r="D115" s="205">
        <v>0</v>
      </c>
      <c r="E115" s="205">
        <v>0</v>
      </c>
      <c r="F115" s="205">
        <v>0</v>
      </c>
      <c r="G115" s="205">
        <v>0</v>
      </c>
      <c r="H115" s="143"/>
      <c r="I115" s="143"/>
      <c r="J115" s="116"/>
      <c r="K115" s="143"/>
      <c r="L115" s="143"/>
      <c r="M115" s="143"/>
      <c r="N115" s="143"/>
      <c r="O115" s="143"/>
      <c r="P115" s="143"/>
      <c r="Q115" s="143"/>
      <c r="R115" s="143"/>
      <c r="S115" s="143"/>
    </row>
    <row r="116" spans="1:20" x14ac:dyDescent="0.2">
      <c r="A116" s="143"/>
      <c r="B116" s="279"/>
      <c r="C116" s="33" t="s">
        <v>203</v>
      </c>
      <c r="D116" s="205">
        <v>29.5</v>
      </c>
      <c r="E116" s="205">
        <v>28</v>
      </c>
      <c r="F116" s="205">
        <v>60</v>
      </c>
      <c r="G116" s="205">
        <v>89.151891312394582</v>
      </c>
      <c r="H116" s="143"/>
      <c r="I116" s="143"/>
      <c r="J116" s="116"/>
      <c r="K116" s="143"/>
      <c r="L116" s="143"/>
      <c r="M116" s="143"/>
      <c r="N116" s="143"/>
      <c r="O116" s="143"/>
      <c r="P116" s="143"/>
      <c r="Q116" s="143"/>
      <c r="R116" s="143"/>
      <c r="S116" s="143"/>
    </row>
    <row r="117" spans="1:20" x14ac:dyDescent="0.2">
      <c r="A117" s="143"/>
      <c r="B117" s="279"/>
      <c r="C117" s="33" t="s">
        <v>204</v>
      </c>
      <c r="D117" s="205">
        <v>2</v>
      </c>
      <c r="E117" s="205">
        <v>3</v>
      </c>
      <c r="F117" s="205">
        <v>2.5</v>
      </c>
      <c r="G117" s="205">
        <v>4.065809573851352</v>
      </c>
      <c r="H117" s="143"/>
      <c r="I117" s="143"/>
      <c r="J117" s="116"/>
      <c r="K117" s="143"/>
      <c r="L117" s="143"/>
      <c r="M117" s="143"/>
      <c r="N117" s="143"/>
      <c r="O117" s="143"/>
      <c r="P117" s="143"/>
      <c r="Q117" s="143"/>
      <c r="R117" s="143"/>
      <c r="S117" s="143"/>
    </row>
    <row r="118" spans="1:20" x14ac:dyDescent="0.2">
      <c r="A118" s="143"/>
      <c r="B118" s="279"/>
      <c r="C118" s="33" t="s">
        <v>205</v>
      </c>
      <c r="D118" s="205">
        <v>0</v>
      </c>
      <c r="E118" s="205">
        <v>0</v>
      </c>
      <c r="F118" s="205">
        <v>0</v>
      </c>
      <c r="G118" s="205">
        <v>0</v>
      </c>
      <c r="H118" s="143"/>
      <c r="I118" s="143"/>
      <c r="J118" s="116"/>
      <c r="K118" s="143"/>
      <c r="L118" s="143"/>
      <c r="M118" s="143"/>
      <c r="N118" s="143"/>
      <c r="O118" s="143"/>
      <c r="P118" s="143"/>
      <c r="Q118" s="143"/>
      <c r="R118" s="143"/>
      <c r="S118" s="143"/>
    </row>
    <row r="119" spans="1:20" x14ac:dyDescent="0.2">
      <c r="A119" s="143"/>
      <c r="B119" s="279" t="s">
        <v>60</v>
      </c>
      <c r="C119" s="33" t="s">
        <v>200</v>
      </c>
      <c r="D119" s="205">
        <v>0</v>
      </c>
      <c r="E119" s="205">
        <v>0</v>
      </c>
      <c r="F119" s="205">
        <v>0</v>
      </c>
      <c r="G119" s="205">
        <v>0</v>
      </c>
      <c r="H119" s="143"/>
      <c r="I119" s="143"/>
      <c r="J119" s="116"/>
      <c r="K119" s="143"/>
      <c r="L119" s="143"/>
      <c r="M119" s="143"/>
      <c r="N119" s="143"/>
      <c r="O119" s="143"/>
      <c r="P119" s="143"/>
      <c r="Q119" s="143"/>
      <c r="R119" s="143"/>
      <c r="S119" s="143"/>
    </row>
    <row r="120" spans="1:20" x14ac:dyDescent="0.2">
      <c r="A120" s="143"/>
      <c r="B120" s="279"/>
      <c r="C120" s="33" t="s">
        <v>206</v>
      </c>
      <c r="D120" s="205">
        <v>0</v>
      </c>
      <c r="E120" s="205">
        <v>0</v>
      </c>
      <c r="F120" s="205">
        <v>0</v>
      </c>
      <c r="G120" s="205">
        <v>0</v>
      </c>
      <c r="H120" s="143"/>
      <c r="I120" s="143"/>
      <c r="J120" s="116"/>
      <c r="K120" s="143"/>
      <c r="L120" s="143"/>
      <c r="M120" s="143"/>
      <c r="N120" s="143"/>
      <c r="O120" s="143"/>
      <c r="P120" s="143"/>
      <c r="Q120" s="143"/>
      <c r="R120" s="143"/>
      <c r="S120" s="143"/>
    </row>
    <row r="121" spans="1:20" x14ac:dyDescent="0.2">
      <c r="A121" s="143"/>
      <c r="B121" s="279"/>
      <c r="C121" s="33" t="s">
        <v>207</v>
      </c>
      <c r="D121" s="205">
        <v>0</v>
      </c>
      <c r="E121" s="205">
        <v>0</v>
      </c>
      <c r="F121" s="205">
        <v>0</v>
      </c>
      <c r="G121" s="205">
        <v>0</v>
      </c>
      <c r="H121" s="143"/>
      <c r="I121" s="143"/>
      <c r="J121" s="116"/>
      <c r="K121" s="143"/>
      <c r="L121" s="143"/>
      <c r="M121" s="143"/>
      <c r="N121" s="143"/>
      <c r="O121" s="143"/>
      <c r="P121" s="143"/>
      <c r="Q121" s="143"/>
      <c r="R121" s="143"/>
      <c r="S121" s="143"/>
    </row>
    <row r="122" spans="1:20" x14ac:dyDescent="0.2">
      <c r="A122" s="143"/>
      <c r="B122" s="279" t="s">
        <v>66</v>
      </c>
      <c r="C122" s="33" t="s">
        <v>199</v>
      </c>
      <c r="D122" s="205">
        <v>0</v>
      </c>
      <c r="E122" s="205">
        <v>0</v>
      </c>
      <c r="F122" s="205">
        <v>0</v>
      </c>
      <c r="G122" s="205">
        <v>0</v>
      </c>
      <c r="H122" s="143"/>
      <c r="I122" s="143"/>
      <c r="J122" s="116"/>
      <c r="K122" s="143"/>
      <c r="L122" s="143"/>
      <c r="M122" s="143"/>
      <c r="N122" s="143"/>
      <c r="O122" s="143"/>
      <c r="P122" s="143"/>
      <c r="Q122" s="143"/>
      <c r="R122" s="143"/>
      <c r="S122" s="143"/>
    </row>
    <row r="123" spans="1:20" x14ac:dyDescent="0.2">
      <c r="A123" s="143"/>
      <c r="B123" s="279"/>
      <c r="C123" s="33" t="s">
        <v>208</v>
      </c>
      <c r="D123" s="205">
        <v>0.5</v>
      </c>
      <c r="E123" s="205">
        <v>0.5</v>
      </c>
      <c r="F123" s="205">
        <v>0.5</v>
      </c>
      <c r="G123" s="205">
        <v>0</v>
      </c>
      <c r="H123" s="143"/>
      <c r="I123" s="143"/>
      <c r="J123" s="116"/>
      <c r="K123" s="143"/>
      <c r="L123" s="143"/>
      <c r="M123" s="143"/>
      <c r="N123" s="143"/>
      <c r="O123" s="143"/>
      <c r="P123" s="143"/>
      <c r="Q123" s="143"/>
      <c r="R123" s="143"/>
      <c r="S123" s="143"/>
    </row>
    <row r="124" spans="1:20" x14ac:dyDescent="0.2">
      <c r="A124" s="143"/>
      <c r="B124" s="279"/>
      <c r="C124" s="33" t="s">
        <v>209</v>
      </c>
      <c r="D124" s="205">
        <v>0</v>
      </c>
      <c r="E124" s="205">
        <v>0</v>
      </c>
      <c r="F124" s="205">
        <v>0</v>
      </c>
      <c r="G124" s="205">
        <v>0</v>
      </c>
      <c r="H124" s="143"/>
      <c r="I124" s="143"/>
      <c r="J124" s="116"/>
      <c r="K124" s="143"/>
      <c r="L124" s="143"/>
      <c r="M124" s="143"/>
      <c r="N124" s="143"/>
      <c r="O124" s="143"/>
      <c r="P124" s="143"/>
      <c r="Q124" s="143"/>
      <c r="R124" s="143"/>
      <c r="S124" s="143"/>
    </row>
    <row r="125" spans="1:20" x14ac:dyDescent="0.2">
      <c r="A125" s="143"/>
      <c r="B125" s="143"/>
      <c r="C125" s="147" t="s">
        <v>36</v>
      </c>
      <c r="D125" s="184">
        <f t="shared" ref="D125:G125" si="11">SUM(D111:D124)</f>
        <v>2775.5</v>
      </c>
      <c r="E125" s="184">
        <f t="shared" si="11"/>
        <v>693</v>
      </c>
      <c r="F125" s="184">
        <f t="shared" si="11"/>
        <v>925</v>
      </c>
      <c r="G125" s="184">
        <f t="shared" si="11"/>
        <v>1339.0507498950403</v>
      </c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</row>
    <row r="126" spans="1:20" x14ac:dyDescent="0.2">
      <c r="A126" s="143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</row>
    <row r="127" spans="1:20" x14ac:dyDescent="0.2">
      <c r="A127" s="143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</row>
    <row r="128" spans="1:20" x14ac:dyDescent="0.2">
      <c r="A128" s="143"/>
      <c r="B128" s="34" t="s">
        <v>306</v>
      </c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</row>
    <row r="129" spans="1:20" x14ac:dyDescent="0.2">
      <c r="A129" s="143"/>
      <c r="B129" s="148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</row>
    <row r="130" spans="1:20" ht="15" customHeight="1" x14ac:dyDescent="0.2">
      <c r="A130" s="143"/>
      <c r="B130" s="102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</row>
    <row r="131" spans="1:20" x14ac:dyDescent="0.2">
      <c r="A131" s="143"/>
      <c r="B131" s="143"/>
      <c r="C131" s="143"/>
      <c r="D131" s="280" t="s">
        <v>192</v>
      </c>
      <c r="E131" s="281"/>
      <c r="F131" s="281"/>
      <c r="G131" s="282"/>
      <c r="H131" s="177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</row>
    <row r="132" spans="1:20" x14ac:dyDescent="0.2">
      <c r="A132" s="143"/>
      <c r="B132" s="3" t="s">
        <v>302</v>
      </c>
      <c r="C132" s="3" t="s">
        <v>303</v>
      </c>
      <c r="D132" s="3" t="s">
        <v>325</v>
      </c>
      <c r="E132" s="3" t="s">
        <v>326</v>
      </c>
      <c r="F132" s="3" t="s">
        <v>327</v>
      </c>
      <c r="G132" s="163" t="s">
        <v>328</v>
      </c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</row>
    <row r="133" spans="1:20" x14ac:dyDescent="0.2">
      <c r="A133" s="143"/>
      <c r="B133" s="68" t="s">
        <v>304</v>
      </c>
      <c r="C133" s="101" t="s">
        <v>305</v>
      </c>
      <c r="D133" s="204">
        <v>273.45500000000004</v>
      </c>
      <c r="E133" s="204">
        <v>228.45500000000001</v>
      </c>
      <c r="F133" s="204">
        <v>233</v>
      </c>
      <c r="G133" s="204">
        <v>263.67532996955208</v>
      </c>
      <c r="H133" s="143"/>
      <c r="I133" s="143"/>
      <c r="J133" s="143"/>
      <c r="K133" s="75"/>
      <c r="L133" s="75"/>
      <c r="M133" s="75"/>
      <c r="N133" s="75"/>
      <c r="O133" s="75"/>
      <c r="P133" s="75"/>
      <c r="Q133" s="143"/>
      <c r="R133" s="143"/>
      <c r="S133" s="143"/>
    </row>
    <row r="134" spans="1:20" x14ac:dyDescent="0.2">
      <c r="A134" s="143"/>
      <c r="B134" s="143"/>
      <c r="C134" s="147" t="s">
        <v>36</v>
      </c>
      <c r="D134" s="184">
        <f t="shared" ref="D134:G134" si="12">SUM(D133)</f>
        <v>273.45500000000004</v>
      </c>
      <c r="E134" s="184">
        <f t="shared" si="12"/>
        <v>228.45500000000001</v>
      </c>
      <c r="F134" s="184">
        <f t="shared" si="12"/>
        <v>233</v>
      </c>
      <c r="G134" s="184">
        <f t="shared" si="12"/>
        <v>263.67532996955208</v>
      </c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</row>
    <row r="135" spans="1:20" x14ac:dyDescent="0.2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</row>
    <row r="136" spans="1:20" x14ac:dyDescent="0.2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</row>
    <row r="137" spans="1:20" ht="15.75" x14ac:dyDescent="0.25">
      <c r="A137" s="28"/>
      <c r="B137" s="28" t="s">
        <v>307</v>
      </c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</row>
    <row r="138" spans="1:20" x14ac:dyDescent="0.2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</row>
    <row r="139" spans="1:20" hidden="1" x14ac:dyDescent="0.2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</row>
    <row r="140" spans="1:20" hidden="1" x14ac:dyDescent="0.2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</row>
    <row r="141" spans="1:20" hidden="1" x14ac:dyDescent="0.2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</row>
    <row r="142" spans="1:20" hidden="1" x14ac:dyDescent="0.2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</row>
    <row r="143" spans="1:20" hidden="1" x14ac:dyDescent="0.2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</row>
    <row r="144" spans="1:20" hidden="1" x14ac:dyDescent="0.2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</row>
    <row r="145" spans="1:20" hidden="1" x14ac:dyDescent="0.2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</row>
    <row r="146" spans="1:20" hidden="1" x14ac:dyDescent="0.2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</row>
    <row r="147" spans="1:20" hidden="1" x14ac:dyDescent="0.2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</row>
    <row r="148" spans="1:20" hidden="1" x14ac:dyDescent="0.2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</row>
    <row r="149" spans="1:20" hidden="1" x14ac:dyDescent="0.2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</row>
    <row r="150" spans="1:20" hidden="1" x14ac:dyDescent="0.2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</row>
    <row r="151" spans="1:20" hidden="1" x14ac:dyDescent="0.2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</row>
    <row r="152" spans="1:20" hidden="1" x14ac:dyDescent="0.2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</row>
    <row r="153" spans="1:20" hidden="1" x14ac:dyDescent="0.2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</row>
    <row r="154" spans="1:20" hidden="1" x14ac:dyDescent="0.2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</row>
    <row r="155" spans="1:20" hidden="1" x14ac:dyDescent="0.2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</row>
    <row r="156" spans="1:20" hidden="1" x14ac:dyDescent="0.2"/>
  </sheetData>
  <mergeCells count="18">
    <mergeCell ref="D27:G27"/>
    <mergeCell ref="D7:G7"/>
    <mergeCell ref="B111:B113"/>
    <mergeCell ref="B52:B54"/>
    <mergeCell ref="B55:B59"/>
    <mergeCell ref="B60:B62"/>
    <mergeCell ref="B63:B65"/>
    <mergeCell ref="B102:I102"/>
    <mergeCell ref="B103:I103"/>
    <mergeCell ref="B25:I25"/>
    <mergeCell ref="D109:G109"/>
    <mergeCell ref="D82:G82"/>
    <mergeCell ref="D72:G72"/>
    <mergeCell ref="B114:B118"/>
    <mergeCell ref="B119:B121"/>
    <mergeCell ref="B122:B124"/>
    <mergeCell ref="D131:G131"/>
    <mergeCell ref="D50:G50"/>
  </mergeCells>
  <conditionalFormatting sqref="K2">
    <cfRule type="expression" dxfId="6" priority="4">
      <formula>$K$2="Check!"</formula>
    </cfRule>
  </conditionalFormatting>
  <hyperlinks>
    <hyperlink ref="K1" location="Menu!A1" display="Menu" xr:uid="{00000000-0004-0000-0300-000000000000}"/>
  </hyperlinks>
  <pageMargins left="0.25" right="0.25" top="0.75" bottom="0.75" header="0.3" footer="0.3"/>
  <pageSetup paperSize="9" scale="26" orientation="landscape" r:id="rId1"/>
  <ignoredErrors>
    <ignoredError sqref="H93:H94 H85:H86 H96 H91:H92 H88:H89" formulaRange="1"/>
    <ignoredError sqref="H90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tabColor theme="8" tint="0.59999389629810485"/>
  </sheetPr>
  <dimension ref="A1:T235"/>
  <sheetViews>
    <sheetView zoomScaleNormal="100" workbookViewId="0"/>
  </sheetViews>
  <sheetFormatPr defaultColWidth="0" defaultRowHeight="12.75" zeroHeight="1" x14ac:dyDescent="0.2"/>
  <cols>
    <col min="1" max="1" width="3.7109375" customWidth="1"/>
    <col min="2" max="2" width="9.140625" customWidth="1"/>
    <col min="3" max="3" width="14.7109375" customWidth="1"/>
    <col min="4" max="4" width="13.85546875" customWidth="1"/>
    <col min="5" max="5" width="14" customWidth="1"/>
    <col min="6" max="6" width="13.85546875" customWidth="1"/>
    <col min="7" max="7" width="3.7109375" customWidth="1"/>
    <col min="8" max="13" width="11.7109375" hidden="1" customWidth="1"/>
    <col min="14" max="18" width="9.140625" hidden="1" customWidth="1"/>
    <col min="19" max="20" width="10.140625" hidden="1" customWidth="1"/>
    <col min="21" max="16384" width="9.140625" hidden="1"/>
  </cols>
  <sheetData>
    <row r="1" spans="1:19" ht="18" x14ac:dyDescent="0.25">
      <c r="A1" s="26" t="str">
        <f>Menu!A1</f>
        <v>CitiPower - Connections</v>
      </c>
      <c r="B1" s="26"/>
      <c r="C1" s="26"/>
      <c r="D1" s="26"/>
      <c r="E1" s="26"/>
      <c r="F1" s="30" t="s">
        <v>39</v>
      </c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15.75" x14ac:dyDescent="0.25">
      <c r="A2" s="28" t="str">
        <f ca="1">RIGHT(CELL("filename", $A$1), LEN(CELL("filename", $A$1)) - SEARCH("]", CELL("filename", $A$1)))</f>
        <v>Historical Contributions</v>
      </c>
      <c r="B2" s="28"/>
      <c r="C2" s="28"/>
      <c r="D2" s="28"/>
      <c r="E2" s="38" t="s">
        <v>82</v>
      </c>
      <c r="F2" s="40" t="str">
        <f>IF(SUM(C100:F100)=(SUM(C80:F80)-SUM(C41:F41)+SUM(C21:F21)),"OK","Check!")</f>
        <v>OK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">
      <c r="A4" s="4"/>
      <c r="B4" s="34" t="s">
        <v>220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">
      <c r="A5" s="4"/>
      <c r="B5" s="13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">
      <c r="A6" s="4"/>
      <c r="B6" s="4"/>
      <c r="C6" s="291" t="s">
        <v>338</v>
      </c>
      <c r="D6" s="291"/>
      <c r="E6" s="291"/>
      <c r="F6" s="29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5.5" x14ac:dyDescent="0.2">
      <c r="A7" s="4"/>
      <c r="B7" s="3" t="s">
        <v>35</v>
      </c>
      <c r="C7" s="3" t="s">
        <v>325</v>
      </c>
      <c r="D7" s="3" t="s">
        <v>326</v>
      </c>
      <c r="E7" s="3" t="s">
        <v>327</v>
      </c>
      <c r="F7" s="163" t="s">
        <v>328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">
      <c r="A8" s="143"/>
      <c r="B8" s="68">
        <v>102</v>
      </c>
      <c r="C8" s="204">
        <v>0</v>
      </c>
      <c r="D8" s="65">
        <v>4260</v>
      </c>
      <c r="E8" s="65">
        <v>4260</v>
      </c>
      <c r="F8" s="65"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">
      <c r="A9" s="143"/>
      <c r="B9" s="68">
        <v>104</v>
      </c>
      <c r="C9" s="65">
        <v>19720</v>
      </c>
      <c r="D9" s="65">
        <v>0</v>
      </c>
      <c r="E9" s="65">
        <v>7912.5</v>
      </c>
      <c r="F9" s="65">
        <v>7912.5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">
      <c r="A10" s="143"/>
      <c r="B10" s="68">
        <v>105</v>
      </c>
      <c r="C10" s="65">
        <v>304.5</v>
      </c>
      <c r="D10" s="65">
        <v>17310.5</v>
      </c>
      <c r="E10" s="65">
        <v>42785</v>
      </c>
      <c r="F10" s="65">
        <v>25779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2">
      <c r="A11" s="143"/>
      <c r="B11" s="68">
        <v>106</v>
      </c>
      <c r="C11" s="65">
        <v>140778</v>
      </c>
      <c r="D11" s="65">
        <v>238698.5</v>
      </c>
      <c r="E11" s="65">
        <v>97920.5</v>
      </c>
      <c r="F11" s="65">
        <v>41796.536389380533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">
      <c r="A12" s="143"/>
      <c r="B12" s="68">
        <v>107</v>
      </c>
      <c r="C12" s="65">
        <v>0</v>
      </c>
      <c r="D12" s="65">
        <v>0</v>
      </c>
      <c r="E12" s="65">
        <v>0</v>
      </c>
      <c r="F12" s="65"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2">
      <c r="A13" s="143"/>
      <c r="B13" s="68">
        <v>108</v>
      </c>
      <c r="C13" s="65">
        <v>0</v>
      </c>
      <c r="D13" s="65">
        <v>0</v>
      </c>
      <c r="E13" s="65">
        <v>0</v>
      </c>
      <c r="F13" s="65"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">
      <c r="A14" s="143"/>
      <c r="B14" s="68">
        <v>109</v>
      </c>
      <c r="C14" s="65">
        <v>0</v>
      </c>
      <c r="D14" s="65">
        <v>0</v>
      </c>
      <c r="E14" s="65">
        <v>0</v>
      </c>
      <c r="F14" s="65"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">
      <c r="A15" s="143"/>
      <c r="B15" s="68">
        <v>110</v>
      </c>
      <c r="C15" s="65">
        <v>0</v>
      </c>
      <c r="D15" s="65">
        <v>0</v>
      </c>
      <c r="E15" s="65">
        <v>0</v>
      </c>
      <c r="F15" s="65"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43"/>
      <c r="B16" s="68">
        <v>111</v>
      </c>
      <c r="C16" s="65">
        <v>245183.5</v>
      </c>
      <c r="D16" s="65">
        <v>134139</v>
      </c>
      <c r="E16" s="65">
        <v>128305.99999999999</v>
      </c>
      <c r="F16" s="65">
        <v>63217.5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">
      <c r="A17" s="143"/>
      <c r="B17" s="68">
        <v>114</v>
      </c>
      <c r="C17" s="65">
        <v>0</v>
      </c>
      <c r="D17" s="65">
        <v>0</v>
      </c>
      <c r="E17" s="65">
        <v>0</v>
      </c>
      <c r="F17" s="65">
        <v>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">
      <c r="A18" s="143"/>
      <c r="B18" s="68">
        <v>115</v>
      </c>
      <c r="C18" s="65">
        <v>0</v>
      </c>
      <c r="D18" s="65">
        <v>0</v>
      </c>
      <c r="E18" s="65">
        <v>0</v>
      </c>
      <c r="F18" s="65"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">
      <c r="A19" s="143"/>
      <c r="B19" s="68">
        <v>116</v>
      </c>
      <c r="C19" s="65">
        <v>3168578.0000000005</v>
      </c>
      <c r="D19" s="65">
        <v>2831379.0000000005</v>
      </c>
      <c r="E19" s="65">
        <v>10400.500000000002</v>
      </c>
      <c r="F19" s="65">
        <v>4060.5</v>
      </c>
      <c r="G19" s="4"/>
      <c r="H19" s="75"/>
      <c r="I19" s="75"/>
      <c r="J19" s="75"/>
      <c r="K19" s="75"/>
      <c r="L19" s="4"/>
      <c r="M19" s="4"/>
      <c r="N19" s="4"/>
      <c r="O19" s="4"/>
      <c r="P19" s="4"/>
      <c r="Q19" s="4"/>
      <c r="R19" s="4"/>
      <c r="S19" s="4"/>
    </row>
    <row r="20" spans="1:19" x14ac:dyDescent="0.2">
      <c r="A20" s="143"/>
      <c r="B20" s="68">
        <v>118</v>
      </c>
      <c r="C20" s="65">
        <v>0</v>
      </c>
      <c r="D20" s="65">
        <v>0</v>
      </c>
      <c r="E20" s="65">
        <v>0</v>
      </c>
      <c r="F20" s="65"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x14ac:dyDescent="0.2">
      <c r="A21" s="143"/>
      <c r="B21" s="72" t="s">
        <v>36</v>
      </c>
      <c r="C21" s="73">
        <f>SUM(C8:C20)</f>
        <v>3574564.0000000005</v>
      </c>
      <c r="D21" s="73">
        <f>SUM(D8:D20)</f>
        <v>3225787.0000000005</v>
      </c>
      <c r="E21" s="73">
        <f>SUM(E8:E20)</f>
        <v>291584.5</v>
      </c>
      <c r="F21" s="73">
        <f>SUM(F8:F20)</f>
        <v>142766.03638938052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2">
      <c r="A24" s="4"/>
      <c r="B24" s="34" t="s">
        <v>221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x14ac:dyDescent="0.2">
      <c r="A25" s="4"/>
      <c r="B25" s="140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2">
      <c r="A26" s="4"/>
      <c r="B26" s="4"/>
      <c r="C26" s="288" t="s">
        <v>338</v>
      </c>
      <c r="D26" s="289"/>
      <c r="E26" s="289"/>
      <c r="F26" s="29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25.5" x14ac:dyDescent="0.2">
      <c r="A27" s="4"/>
      <c r="B27" s="3" t="s">
        <v>35</v>
      </c>
      <c r="C27" s="3" t="s">
        <v>325</v>
      </c>
      <c r="D27" s="3" t="s">
        <v>326</v>
      </c>
      <c r="E27" s="3" t="s">
        <v>327</v>
      </c>
      <c r="F27" s="163" t="s">
        <v>328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2">
      <c r="A28" s="4"/>
      <c r="B28" s="68">
        <v>102</v>
      </c>
      <c r="C28" s="65">
        <v>0</v>
      </c>
      <c r="D28" s="65">
        <v>0</v>
      </c>
      <c r="E28" s="65">
        <v>0</v>
      </c>
      <c r="F28" s="65"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x14ac:dyDescent="0.2">
      <c r="A29" s="4"/>
      <c r="B29" s="68">
        <v>104</v>
      </c>
      <c r="C29" s="65">
        <v>0</v>
      </c>
      <c r="D29" s="65">
        <v>0</v>
      </c>
      <c r="E29" s="65">
        <v>0</v>
      </c>
      <c r="F29" s="65"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x14ac:dyDescent="0.2">
      <c r="A30" s="4"/>
      <c r="B30" s="68">
        <v>105</v>
      </c>
      <c r="C30" s="65">
        <v>0</v>
      </c>
      <c r="D30" s="65">
        <v>0</v>
      </c>
      <c r="E30" s="65">
        <v>0</v>
      </c>
      <c r="F30" s="65"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x14ac:dyDescent="0.2">
      <c r="A31" s="4"/>
      <c r="B31" s="68">
        <v>106</v>
      </c>
      <c r="C31" s="65">
        <v>0</v>
      </c>
      <c r="D31" s="65">
        <v>85430</v>
      </c>
      <c r="E31" s="65">
        <v>85430</v>
      </c>
      <c r="F31" s="65"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x14ac:dyDescent="0.2">
      <c r="A32" s="4"/>
      <c r="B32" s="68">
        <v>107</v>
      </c>
      <c r="C32" s="65">
        <v>0</v>
      </c>
      <c r="D32" s="65">
        <v>0</v>
      </c>
      <c r="E32" s="65">
        <v>0</v>
      </c>
      <c r="F32" s="65"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x14ac:dyDescent="0.2">
      <c r="A33" s="4"/>
      <c r="B33" s="68">
        <v>108</v>
      </c>
      <c r="C33" s="65">
        <v>0</v>
      </c>
      <c r="D33" s="65">
        <v>0</v>
      </c>
      <c r="E33" s="65">
        <v>0</v>
      </c>
      <c r="F33" s="65"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2">
      <c r="A34" s="4"/>
      <c r="B34" s="68">
        <v>109</v>
      </c>
      <c r="C34" s="65">
        <v>0</v>
      </c>
      <c r="D34" s="65">
        <v>0</v>
      </c>
      <c r="E34" s="65">
        <v>0</v>
      </c>
      <c r="F34" s="65"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x14ac:dyDescent="0.2">
      <c r="A35" s="4"/>
      <c r="B35" s="68">
        <v>110</v>
      </c>
      <c r="C35" s="65">
        <v>0</v>
      </c>
      <c r="D35" s="65">
        <v>0</v>
      </c>
      <c r="E35" s="65">
        <v>0</v>
      </c>
      <c r="F35" s="65"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x14ac:dyDescent="0.2">
      <c r="A36" s="4"/>
      <c r="B36" s="68">
        <v>111</v>
      </c>
      <c r="C36" s="65">
        <v>0</v>
      </c>
      <c r="D36" s="65">
        <v>0</v>
      </c>
      <c r="E36" s="65">
        <v>0</v>
      </c>
      <c r="F36" s="65">
        <v>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2">
      <c r="A37" s="4"/>
      <c r="B37" s="68">
        <v>114</v>
      </c>
      <c r="C37" s="65">
        <v>0</v>
      </c>
      <c r="D37" s="65">
        <v>0</v>
      </c>
      <c r="E37" s="65">
        <v>0</v>
      </c>
      <c r="F37" s="65"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x14ac:dyDescent="0.2">
      <c r="A38" s="4"/>
      <c r="B38" s="68">
        <v>115</v>
      </c>
      <c r="C38" s="65">
        <v>0</v>
      </c>
      <c r="D38" s="65">
        <v>0</v>
      </c>
      <c r="E38" s="65">
        <v>0</v>
      </c>
      <c r="F38" s="65">
        <v>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x14ac:dyDescent="0.2">
      <c r="A39" s="4"/>
      <c r="B39" s="68">
        <v>116</v>
      </c>
      <c r="C39" s="65">
        <v>26086.5</v>
      </c>
      <c r="D39" s="65">
        <v>0</v>
      </c>
      <c r="E39" s="65">
        <v>0</v>
      </c>
      <c r="F39" s="65">
        <v>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x14ac:dyDescent="0.2">
      <c r="A40" s="4"/>
      <c r="B40" s="68">
        <v>118</v>
      </c>
      <c r="C40" s="65">
        <v>0</v>
      </c>
      <c r="D40" s="65">
        <v>0</v>
      </c>
      <c r="E40" s="65">
        <v>0</v>
      </c>
      <c r="F40" s="65">
        <v>0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x14ac:dyDescent="0.2">
      <c r="A41" s="4"/>
      <c r="B41" s="72" t="s">
        <v>36</v>
      </c>
      <c r="C41" s="73">
        <f>SUM(C28:C40)</f>
        <v>26086.5</v>
      </c>
      <c r="D41" s="73">
        <f>SUM(D28:D40)</f>
        <v>85430</v>
      </c>
      <c r="E41" s="73">
        <f>SUM(E28:E40)</f>
        <v>85430</v>
      </c>
      <c r="F41" s="73">
        <f>SUM(F28:F40)</f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x14ac:dyDescent="0.2">
      <c r="A44" s="4"/>
      <c r="B44" s="34" t="s">
        <v>222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2">
      <c r="A45" s="4"/>
      <c r="B45" s="140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x14ac:dyDescent="0.2">
      <c r="A46" s="4"/>
      <c r="B46" s="4"/>
      <c r="C46" s="288" t="s">
        <v>338</v>
      </c>
      <c r="D46" s="289"/>
      <c r="E46" s="289"/>
      <c r="F46" s="290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25.5" x14ac:dyDescent="0.2">
      <c r="A47" s="4"/>
      <c r="B47" s="3" t="s">
        <v>35</v>
      </c>
      <c r="C47" s="3" t="s">
        <v>325</v>
      </c>
      <c r="D47" s="3" t="s">
        <v>326</v>
      </c>
      <c r="E47" s="3" t="s">
        <v>327</v>
      </c>
      <c r="F47" s="163" t="s">
        <v>328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x14ac:dyDescent="0.2">
      <c r="A48" s="4"/>
      <c r="B48" s="68">
        <v>102</v>
      </c>
      <c r="C48" s="53">
        <v>0.43418291168185608</v>
      </c>
      <c r="D48" s="53">
        <v>0.56472218873331348</v>
      </c>
      <c r="E48" s="53">
        <v>0.62169482148120803</v>
      </c>
      <c r="F48" s="53">
        <v>0.58017711099217339</v>
      </c>
      <c r="G48" s="103"/>
      <c r="H48" s="174"/>
      <c r="I48" s="174"/>
      <c r="J48" s="174"/>
      <c r="K48" s="174"/>
      <c r="L48" s="4"/>
      <c r="M48" s="4"/>
      <c r="N48" s="4"/>
      <c r="O48" s="4"/>
      <c r="P48" s="4"/>
      <c r="Q48" s="4"/>
      <c r="R48" s="4"/>
      <c r="S48" s="4"/>
    </row>
    <row r="49" spans="1:19" x14ac:dyDescent="0.2">
      <c r="A49" s="4"/>
      <c r="B49" s="68">
        <v>104</v>
      </c>
      <c r="C49" s="53">
        <v>1</v>
      </c>
      <c r="D49" s="53">
        <v>0.41664002305796205</v>
      </c>
      <c r="E49" s="53">
        <v>0</v>
      </c>
      <c r="F49" s="53">
        <v>0</v>
      </c>
      <c r="G49" s="103"/>
      <c r="H49" s="174"/>
      <c r="I49" s="174"/>
      <c r="J49" s="174"/>
      <c r="K49" s="174"/>
      <c r="L49" s="4"/>
      <c r="M49" s="4"/>
      <c r="N49" s="4"/>
      <c r="O49" s="4"/>
      <c r="P49" s="4"/>
      <c r="Q49" s="4"/>
      <c r="R49" s="4"/>
      <c r="S49" s="4"/>
    </row>
    <row r="50" spans="1:19" x14ac:dyDescent="0.2">
      <c r="A50" s="4"/>
      <c r="B50" s="68">
        <v>105</v>
      </c>
      <c r="C50" s="53">
        <v>0.33305958035585026</v>
      </c>
      <c r="D50" s="53">
        <v>0.50607939884017494</v>
      </c>
      <c r="E50" s="53">
        <v>0.54894413424958044</v>
      </c>
      <c r="F50" s="53">
        <v>0.53808697798662919</v>
      </c>
      <c r="G50" s="103"/>
      <c r="H50" s="174"/>
      <c r="I50" s="174"/>
      <c r="J50" s="174"/>
      <c r="K50" s="174"/>
      <c r="L50" s="4"/>
      <c r="M50" s="4"/>
      <c r="N50" s="4"/>
      <c r="O50" s="4"/>
      <c r="P50" s="4"/>
      <c r="Q50" s="4"/>
      <c r="R50" s="4"/>
      <c r="S50" s="4"/>
    </row>
    <row r="51" spans="1:19" x14ac:dyDescent="0.2">
      <c r="A51" s="4"/>
      <c r="B51" s="68">
        <v>106</v>
      </c>
      <c r="C51" s="53">
        <v>0.43442855228975508</v>
      </c>
      <c r="D51" s="53">
        <v>0.51220933587854711</v>
      </c>
      <c r="E51" s="53">
        <v>0.54973893003061114</v>
      </c>
      <c r="F51" s="53">
        <v>0.55297151852281956</v>
      </c>
      <c r="G51" s="103"/>
      <c r="H51" s="174"/>
      <c r="I51" s="174"/>
      <c r="J51" s="174"/>
      <c r="K51" s="174"/>
      <c r="L51" s="4"/>
      <c r="M51" s="4"/>
      <c r="N51" s="4"/>
      <c r="O51" s="4"/>
      <c r="P51" s="4"/>
      <c r="Q51" s="4"/>
      <c r="R51" s="4"/>
      <c r="S51" s="4"/>
    </row>
    <row r="52" spans="1:19" x14ac:dyDescent="0.2">
      <c r="A52" s="4"/>
      <c r="B52" s="68">
        <v>107</v>
      </c>
      <c r="C52" s="53">
        <v>0.72644904647420039</v>
      </c>
      <c r="D52" s="53">
        <v>0.71013083907203789</v>
      </c>
      <c r="E52" s="53">
        <v>0.46886893687861536</v>
      </c>
      <c r="F52" s="53">
        <v>0.5066780903042496</v>
      </c>
      <c r="G52" s="103"/>
      <c r="H52" s="174"/>
      <c r="I52" s="174"/>
      <c r="J52" s="174"/>
      <c r="K52" s="174"/>
      <c r="L52" s="4"/>
      <c r="M52" s="4"/>
      <c r="N52" s="4"/>
      <c r="O52" s="4"/>
      <c r="P52" s="4"/>
      <c r="Q52" s="4"/>
      <c r="R52" s="4"/>
      <c r="S52" s="4"/>
    </row>
    <row r="53" spans="1:19" x14ac:dyDescent="0.2">
      <c r="A53" s="4"/>
      <c r="B53" s="68">
        <v>108</v>
      </c>
      <c r="C53" s="53">
        <v>0</v>
      </c>
      <c r="D53" s="53">
        <v>0</v>
      </c>
      <c r="E53" s="53">
        <v>0</v>
      </c>
      <c r="F53" s="53">
        <v>0</v>
      </c>
      <c r="G53" s="103"/>
      <c r="H53" s="174"/>
      <c r="I53" s="174"/>
      <c r="J53" s="174"/>
      <c r="K53" s="174"/>
      <c r="L53" s="4"/>
      <c r="M53" s="4"/>
      <c r="N53" s="4"/>
      <c r="O53" s="4"/>
      <c r="P53" s="4"/>
      <c r="Q53" s="4"/>
      <c r="R53" s="4"/>
      <c r="S53" s="4"/>
    </row>
    <row r="54" spans="1:19" x14ac:dyDescent="0.2">
      <c r="A54" s="4"/>
      <c r="B54" s="68">
        <v>109</v>
      </c>
      <c r="C54" s="53">
        <v>0.9574260322024245</v>
      </c>
      <c r="D54" s="53">
        <v>0.92234665701602192</v>
      </c>
      <c r="E54" s="53">
        <v>0.86053693532004571</v>
      </c>
      <c r="F54" s="53">
        <v>0.79583224608270697</v>
      </c>
      <c r="G54" s="103"/>
      <c r="H54" s="174"/>
      <c r="I54" s="174"/>
      <c r="J54" s="174"/>
      <c r="K54" s="174"/>
      <c r="L54" s="4"/>
      <c r="M54" s="4"/>
      <c r="N54" s="4"/>
      <c r="O54" s="4"/>
      <c r="P54" s="4"/>
      <c r="Q54" s="4"/>
      <c r="R54" s="4"/>
      <c r="S54" s="4"/>
    </row>
    <row r="55" spans="1:19" x14ac:dyDescent="0.2">
      <c r="A55" s="4"/>
      <c r="B55" s="68">
        <v>110</v>
      </c>
      <c r="C55" s="53">
        <v>0</v>
      </c>
      <c r="D55" s="53">
        <v>0</v>
      </c>
      <c r="E55" s="53">
        <v>0</v>
      </c>
      <c r="F55" s="53">
        <v>0</v>
      </c>
      <c r="G55" s="103"/>
      <c r="H55" s="174"/>
      <c r="I55" s="174"/>
      <c r="J55" s="174"/>
      <c r="K55" s="174"/>
      <c r="L55" s="4"/>
      <c r="M55" s="4"/>
      <c r="N55" s="4"/>
      <c r="O55" s="4"/>
      <c r="P55" s="4"/>
      <c r="Q55" s="4"/>
      <c r="R55" s="4"/>
      <c r="S55" s="4"/>
    </row>
    <row r="56" spans="1:19" x14ac:dyDescent="0.2">
      <c r="A56" s="4"/>
      <c r="B56" s="68">
        <v>111</v>
      </c>
      <c r="C56" s="53">
        <v>0.23951466550473002</v>
      </c>
      <c r="D56" s="53">
        <v>0.35363043999173616</v>
      </c>
      <c r="E56" s="53">
        <v>0.42460286307726725</v>
      </c>
      <c r="F56" s="53">
        <v>0.40789623419782917</v>
      </c>
      <c r="G56" s="103"/>
      <c r="H56" s="174"/>
      <c r="I56" s="174"/>
      <c r="J56" s="174"/>
      <c r="K56" s="174"/>
      <c r="L56" s="4"/>
      <c r="M56" s="4"/>
      <c r="N56" s="4"/>
      <c r="O56" s="4"/>
      <c r="P56" s="4"/>
      <c r="Q56" s="4"/>
      <c r="R56" s="4"/>
      <c r="S56" s="4"/>
    </row>
    <row r="57" spans="1:19" x14ac:dyDescent="0.2">
      <c r="A57" s="4"/>
      <c r="B57" s="68">
        <v>114</v>
      </c>
      <c r="C57" s="53">
        <v>0</v>
      </c>
      <c r="D57" s="53">
        <v>0</v>
      </c>
      <c r="E57" s="53">
        <v>0</v>
      </c>
      <c r="F57" s="53">
        <v>0</v>
      </c>
      <c r="G57" s="103"/>
      <c r="H57" s="174"/>
      <c r="I57" s="174"/>
      <c r="J57" s="174"/>
      <c r="K57" s="174"/>
      <c r="L57" s="4"/>
      <c r="M57" s="4"/>
      <c r="N57" s="4"/>
      <c r="O57" s="4"/>
      <c r="P57" s="4"/>
      <c r="Q57" s="4"/>
      <c r="R57" s="4"/>
      <c r="S57" s="4"/>
    </row>
    <row r="58" spans="1:19" x14ac:dyDescent="0.2">
      <c r="A58" s="4"/>
      <c r="B58" s="68">
        <v>115</v>
      </c>
      <c r="C58" s="53">
        <v>0</v>
      </c>
      <c r="D58" s="53">
        <v>0</v>
      </c>
      <c r="E58" s="53">
        <v>0</v>
      </c>
      <c r="F58" s="53">
        <v>0</v>
      </c>
      <c r="G58" s="4"/>
      <c r="H58" s="174"/>
      <c r="I58" s="174"/>
      <c r="J58" s="174"/>
      <c r="K58" s="174"/>
      <c r="L58" s="4"/>
      <c r="M58" s="4"/>
      <c r="N58" s="4"/>
      <c r="O58" s="4"/>
      <c r="P58" s="4"/>
      <c r="Q58" s="4"/>
      <c r="R58" s="4"/>
      <c r="S58" s="4"/>
    </row>
    <row r="59" spans="1:19" x14ac:dyDescent="0.2">
      <c r="A59" s="4"/>
      <c r="B59" s="68">
        <v>116</v>
      </c>
      <c r="C59" s="53">
        <v>0.98307408118389994</v>
      </c>
      <c r="D59" s="53">
        <v>0.94362222165116172</v>
      </c>
      <c r="E59" s="53">
        <v>0.96799736121383095</v>
      </c>
      <c r="F59" s="53">
        <v>0.9210811619599315</v>
      </c>
      <c r="G59" s="4"/>
      <c r="H59" s="174"/>
      <c r="I59" s="174"/>
      <c r="J59" s="174"/>
      <c r="K59" s="174"/>
      <c r="L59" s="4"/>
      <c r="M59" s="4"/>
      <c r="N59" s="4"/>
      <c r="O59" s="4"/>
      <c r="P59" s="4"/>
      <c r="Q59" s="4"/>
      <c r="R59" s="4"/>
      <c r="S59" s="4"/>
    </row>
    <row r="60" spans="1:19" x14ac:dyDescent="0.2">
      <c r="A60" s="4"/>
      <c r="B60" s="68">
        <v>118</v>
      </c>
      <c r="C60" s="53">
        <v>1</v>
      </c>
      <c r="D60" s="53">
        <v>1</v>
      </c>
      <c r="E60" s="53">
        <v>1</v>
      </c>
      <c r="F60" s="53">
        <v>1</v>
      </c>
      <c r="G60" s="4"/>
      <c r="H60" s="174"/>
      <c r="I60" s="174"/>
      <c r="J60" s="174"/>
      <c r="K60" s="174"/>
      <c r="L60" s="4"/>
      <c r="M60" s="4"/>
      <c r="N60" s="4"/>
      <c r="O60" s="4"/>
      <c r="P60" s="4"/>
      <c r="Q60" s="4"/>
      <c r="R60" s="4"/>
      <c r="S60" s="4"/>
    </row>
    <row r="61" spans="1:19" x14ac:dyDescent="0.2">
      <c r="A61" s="4"/>
      <c r="B61" s="4"/>
      <c r="C61" s="4"/>
      <c r="D61" s="4"/>
      <c r="E61" s="4"/>
      <c r="F61" s="4"/>
      <c r="G61" s="4"/>
      <c r="H61" s="174"/>
      <c r="I61" s="174"/>
      <c r="J61" s="174"/>
      <c r="K61" s="174"/>
      <c r="L61" s="4"/>
      <c r="M61" s="4"/>
      <c r="N61" s="4"/>
      <c r="O61" s="4"/>
      <c r="P61" s="4"/>
      <c r="Q61" s="4"/>
      <c r="R61" s="4"/>
      <c r="S61" s="4"/>
    </row>
    <row r="62" spans="1:1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x14ac:dyDescent="0.2">
      <c r="A63" s="4"/>
      <c r="B63" s="34" t="s">
        <v>223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x14ac:dyDescent="0.2">
      <c r="A64" s="4"/>
      <c r="B64" s="14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x14ac:dyDescent="0.2">
      <c r="A65" s="4"/>
      <c r="B65" s="4"/>
      <c r="C65" s="288" t="s">
        <v>338</v>
      </c>
      <c r="D65" s="289"/>
      <c r="E65" s="289"/>
      <c r="F65" s="290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25.5" x14ac:dyDescent="0.2">
      <c r="A66" s="4"/>
      <c r="B66" s="3" t="s">
        <v>35</v>
      </c>
      <c r="C66" s="3" t="s">
        <v>325</v>
      </c>
      <c r="D66" s="3" t="s">
        <v>326</v>
      </c>
      <c r="E66" s="3" t="s">
        <v>327</v>
      </c>
      <c r="F66" s="163" t="s">
        <v>328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x14ac:dyDescent="0.2">
      <c r="A67" s="4"/>
      <c r="B67" s="68">
        <v>102</v>
      </c>
      <c r="C67" s="65">
        <v>489552.55424071773</v>
      </c>
      <c r="D67" s="65">
        <v>929172.74331943691</v>
      </c>
      <c r="E67" s="65">
        <v>1619689.5694305226</v>
      </c>
      <c r="F67" s="65">
        <v>2002853.536539624</v>
      </c>
      <c r="G67" s="4"/>
      <c r="H67" s="1"/>
      <c r="I67" s="173"/>
      <c r="J67" s="1"/>
      <c r="K67" s="1"/>
      <c r="L67" s="1"/>
      <c r="M67" s="103"/>
      <c r="N67" s="4"/>
      <c r="O67" s="104"/>
      <c r="P67" s="104"/>
      <c r="Q67" s="104"/>
      <c r="R67" s="104"/>
      <c r="S67" s="104"/>
    </row>
    <row r="68" spans="1:19" x14ac:dyDescent="0.2">
      <c r="A68" s="4"/>
      <c r="B68" s="68">
        <v>104</v>
      </c>
      <c r="C68" s="65">
        <v>28737.747673623329</v>
      </c>
      <c r="D68" s="65">
        <v>28737.747673623049</v>
      </c>
      <c r="E68" s="65">
        <v>0</v>
      </c>
      <c r="F68" s="65">
        <v>0</v>
      </c>
      <c r="G68" s="4"/>
      <c r="H68" s="1"/>
      <c r="I68" s="1"/>
      <c r="J68" s="1"/>
      <c r="K68" s="1"/>
      <c r="L68" s="1"/>
      <c r="M68" s="103"/>
      <c r="N68" s="4"/>
      <c r="O68" s="104"/>
      <c r="P68" s="104"/>
      <c r="Q68" s="104"/>
      <c r="R68" s="104"/>
      <c r="S68" s="104"/>
    </row>
    <row r="69" spans="1:19" s="4" customFormat="1" x14ac:dyDescent="0.2">
      <c r="B69" s="68">
        <v>105</v>
      </c>
      <c r="C69" s="65">
        <v>2005841.2959344415</v>
      </c>
      <c r="D69" s="65">
        <v>3195598.5026324345</v>
      </c>
      <c r="E69" s="65">
        <v>3687937.6664696718</v>
      </c>
      <c r="F69" s="65">
        <v>4217689.0540699633</v>
      </c>
      <c r="H69" s="1"/>
      <c r="I69" s="1"/>
      <c r="J69" s="1"/>
      <c r="K69" s="1"/>
      <c r="L69" s="1"/>
      <c r="M69" s="103"/>
      <c r="O69" s="104"/>
      <c r="P69" s="104"/>
      <c r="Q69" s="104"/>
      <c r="R69" s="104"/>
      <c r="S69" s="104"/>
    </row>
    <row r="70" spans="1:19" s="4" customFormat="1" x14ac:dyDescent="0.2">
      <c r="B70" s="68">
        <v>106</v>
      </c>
      <c r="C70" s="65">
        <v>4067513.2535157963</v>
      </c>
      <c r="D70" s="65">
        <v>4122278.275759255</v>
      </c>
      <c r="E70" s="65">
        <v>4818590.990079008</v>
      </c>
      <c r="F70" s="65">
        <v>5164403.1202025451</v>
      </c>
      <c r="H70" s="1"/>
      <c r="I70" s="1"/>
      <c r="J70" s="1"/>
      <c r="K70" s="1"/>
      <c r="L70" s="1"/>
      <c r="M70" s="103"/>
      <c r="O70" s="104"/>
      <c r="P70" s="104"/>
      <c r="Q70" s="104"/>
      <c r="R70" s="104"/>
      <c r="S70" s="104"/>
    </row>
    <row r="71" spans="1:19" s="4" customFormat="1" x14ac:dyDescent="0.2">
      <c r="B71" s="68">
        <v>107</v>
      </c>
      <c r="C71" s="65">
        <v>2072529.8645910562</v>
      </c>
      <c r="D71" s="65">
        <v>2299848.34439734</v>
      </c>
      <c r="E71" s="65">
        <v>890319.3272374979</v>
      </c>
      <c r="F71" s="65">
        <v>1410666.8225632082</v>
      </c>
      <c r="H71" s="1"/>
      <c r="I71" s="1"/>
      <c r="J71" s="1"/>
      <c r="K71" s="1"/>
      <c r="L71" s="1"/>
      <c r="M71" s="103"/>
      <c r="O71" s="104"/>
      <c r="P71" s="104"/>
      <c r="Q71" s="104"/>
      <c r="R71" s="104"/>
      <c r="S71" s="104"/>
    </row>
    <row r="72" spans="1:19" s="4" customFormat="1" x14ac:dyDescent="0.2">
      <c r="B72" s="68">
        <v>108</v>
      </c>
      <c r="C72" s="65">
        <v>0</v>
      </c>
      <c r="D72" s="65">
        <v>0</v>
      </c>
      <c r="E72" s="65">
        <v>0</v>
      </c>
      <c r="F72" s="65">
        <v>0</v>
      </c>
      <c r="H72" s="1"/>
      <c r="I72" s="1"/>
      <c r="J72" s="1"/>
      <c r="K72" s="1"/>
      <c r="L72" s="1"/>
      <c r="M72" s="103"/>
      <c r="O72" s="104"/>
      <c r="P72" s="104"/>
      <c r="Q72" s="104"/>
      <c r="R72" s="104"/>
      <c r="S72" s="104"/>
    </row>
    <row r="73" spans="1:19" s="4" customFormat="1" x14ac:dyDescent="0.2">
      <c r="B73" s="68">
        <v>109</v>
      </c>
      <c r="C73" s="65">
        <v>1992857.6753931891</v>
      </c>
      <c r="D73" s="65">
        <v>4358794.702526642</v>
      </c>
      <c r="E73" s="65">
        <v>4710274.7733037453</v>
      </c>
      <c r="F73" s="65">
        <v>5336188.8739042049</v>
      </c>
      <c r="H73" s="1"/>
      <c r="I73" s="1"/>
      <c r="J73" s="1"/>
      <c r="K73" s="1"/>
      <c r="L73" s="1"/>
      <c r="M73" s="103"/>
      <c r="O73" s="104"/>
      <c r="P73" s="104"/>
      <c r="Q73" s="104"/>
      <c r="R73" s="104"/>
      <c r="S73" s="104"/>
    </row>
    <row r="74" spans="1:19" s="4" customFormat="1" x14ac:dyDescent="0.2">
      <c r="B74" s="68">
        <v>110</v>
      </c>
      <c r="C74" s="65">
        <v>0</v>
      </c>
      <c r="D74" s="65">
        <v>0</v>
      </c>
      <c r="E74" s="65">
        <v>0</v>
      </c>
      <c r="F74" s="65">
        <v>0</v>
      </c>
      <c r="H74" s="1"/>
      <c r="I74" s="1"/>
      <c r="J74" s="1"/>
      <c r="K74" s="1"/>
      <c r="L74" s="1"/>
      <c r="M74" s="103"/>
      <c r="O74" s="104"/>
      <c r="P74" s="104"/>
      <c r="Q74" s="104"/>
      <c r="R74" s="104"/>
      <c r="S74" s="104"/>
    </row>
    <row r="75" spans="1:19" s="4" customFormat="1" x14ac:dyDescent="0.2">
      <c r="B75" s="68">
        <v>111</v>
      </c>
      <c r="C75" s="65">
        <v>5112122.1962565398</v>
      </c>
      <c r="D75" s="65">
        <v>6483072.0856554871</v>
      </c>
      <c r="E75" s="65">
        <v>9168024.8454771824</v>
      </c>
      <c r="F75" s="65">
        <v>10817058.763927357</v>
      </c>
      <c r="H75" s="1"/>
      <c r="I75" s="1"/>
      <c r="J75" s="1"/>
      <c r="K75" s="1"/>
      <c r="L75" s="1"/>
      <c r="M75" s="103"/>
      <c r="O75" s="104"/>
      <c r="P75" s="104"/>
      <c r="Q75" s="104"/>
      <c r="R75" s="104"/>
      <c r="S75" s="104"/>
    </row>
    <row r="76" spans="1:19" s="4" customFormat="1" x14ac:dyDescent="0.2">
      <c r="B76" s="68">
        <v>114</v>
      </c>
      <c r="C76" s="65">
        <v>0</v>
      </c>
      <c r="D76" s="65">
        <v>0</v>
      </c>
      <c r="E76" s="65">
        <v>0</v>
      </c>
      <c r="F76" s="65">
        <v>0</v>
      </c>
      <c r="H76" s="1"/>
      <c r="I76" s="1"/>
      <c r="J76" s="1"/>
      <c r="K76" s="1"/>
      <c r="L76" s="1"/>
      <c r="M76" s="103"/>
      <c r="O76" s="104"/>
      <c r="P76" s="104"/>
      <c r="Q76" s="104"/>
      <c r="R76" s="104"/>
      <c r="S76" s="104"/>
    </row>
    <row r="77" spans="1:19" s="4" customFormat="1" x14ac:dyDescent="0.2">
      <c r="B77" s="68">
        <v>115</v>
      </c>
      <c r="C77" s="65">
        <v>0</v>
      </c>
      <c r="D77" s="65">
        <v>0</v>
      </c>
      <c r="E77" s="65">
        <v>0</v>
      </c>
      <c r="F77" s="65">
        <v>0</v>
      </c>
      <c r="H77" s="1"/>
      <c r="I77" s="1"/>
      <c r="J77" s="1"/>
      <c r="K77" s="1"/>
      <c r="L77" s="1"/>
      <c r="M77" s="103"/>
      <c r="O77" s="104"/>
      <c r="P77" s="104"/>
      <c r="Q77" s="104"/>
      <c r="R77" s="104"/>
      <c r="S77" s="104"/>
    </row>
    <row r="78" spans="1:19" s="4" customFormat="1" x14ac:dyDescent="0.2">
      <c r="B78" s="68">
        <v>116</v>
      </c>
      <c r="C78" s="65">
        <v>15666328.210681872</v>
      </c>
      <c r="D78" s="65">
        <v>20512863.686818928</v>
      </c>
      <c r="E78" s="65">
        <v>23665198.411769081</v>
      </c>
      <c r="F78" s="65">
        <v>22659252.466762323</v>
      </c>
      <c r="G78" s="75"/>
      <c r="H78" s="1"/>
      <c r="I78" s="1"/>
      <c r="J78" s="1"/>
      <c r="K78" s="1"/>
      <c r="L78" s="1"/>
      <c r="M78" s="103"/>
      <c r="O78" s="104"/>
      <c r="P78" s="104"/>
      <c r="Q78" s="104"/>
      <c r="R78" s="104"/>
      <c r="S78" s="104"/>
    </row>
    <row r="79" spans="1:19" s="4" customFormat="1" x14ac:dyDescent="0.2">
      <c r="B79" s="68">
        <v>118</v>
      </c>
      <c r="C79" s="65">
        <v>91989.763759123482</v>
      </c>
      <c r="D79" s="65">
        <v>63073.777598020228</v>
      </c>
      <c r="E79" s="65">
        <v>57538.5051310298</v>
      </c>
      <c r="F79" s="65">
        <v>17059.699281090714</v>
      </c>
      <c r="H79" s="1"/>
      <c r="I79" s="1"/>
      <c r="J79" s="1"/>
      <c r="K79" s="1"/>
      <c r="L79" s="1"/>
      <c r="M79" s="103"/>
      <c r="O79" s="104"/>
      <c r="P79" s="104"/>
      <c r="Q79" s="104"/>
      <c r="R79" s="104"/>
      <c r="S79" s="104"/>
    </row>
    <row r="80" spans="1:19" s="4" customFormat="1" x14ac:dyDescent="0.2">
      <c r="B80" s="72" t="s">
        <v>36</v>
      </c>
      <c r="C80" s="73">
        <f>SUM(C67:C79)</f>
        <v>31527472.56204636</v>
      </c>
      <c r="D80" s="73">
        <f>SUM(D67:D79)</f>
        <v>41993439.866381168</v>
      </c>
      <c r="E80" s="73">
        <f>SUM(E67:E79)</f>
        <v>48617574.088897742</v>
      </c>
      <c r="F80" s="73">
        <f>SUM(F67:F79)</f>
        <v>51625172.337250315</v>
      </c>
      <c r="H80" s="75"/>
      <c r="I80" s="75"/>
      <c r="J80" s="75"/>
      <c r="K80" s="75"/>
      <c r="L80" s="75"/>
    </row>
    <row r="81" spans="2:6" s="4" customFormat="1" x14ac:dyDescent="0.2">
      <c r="C81" s="142"/>
      <c r="D81" s="142"/>
      <c r="E81" s="142"/>
      <c r="F81" s="142"/>
    </row>
    <row r="82" spans="2:6" s="4" customFormat="1" x14ac:dyDescent="0.2">
      <c r="F82" s="142"/>
    </row>
    <row r="83" spans="2:6" s="4" customFormat="1" x14ac:dyDescent="0.2">
      <c r="B83" s="34" t="s">
        <v>224</v>
      </c>
    </row>
    <row r="84" spans="2:6" s="4" customFormat="1" x14ac:dyDescent="0.2">
      <c r="B84" s="48" t="s">
        <v>225</v>
      </c>
    </row>
    <row r="85" spans="2:6" s="4" customFormat="1" x14ac:dyDescent="0.2">
      <c r="C85" s="288" t="s">
        <v>338</v>
      </c>
      <c r="D85" s="289"/>
      <c r="E85" s="289"/>
      <c r="F85" s="290"/>
    </row>
    <row r="86" spans="2:6" s="4" customFormat="1" ht="25.5" x14ac:dyDescent="0.2">
      <c r="B86" s="3" t="s">
        <v>35</v>
      </c>
      <c r="C86" s="3" t="s">
        <v>325</v>
      </c>
      <c r="D86" s="3" t="s">
        <v>326</v>
      </c>
      <c r="E86" s="3" t="s">
        <v>327</v>
      </c>
      <c r="F86" s="163" t="s">
        <v>328</v>
      </c>
    </row>
    <row r="87" spans="2:6" s="4" customFormat="1" x14ac:dyDescent="0.2">
      <c r="B87" s="68">
        <v>102</v>
      </c>
      <c r="C87" s="52">
        <f t="shared" ref="C87:F99" si="0">C67-C28+C8</f>
        <v>489552.55424071773</v>
      </c>
      <c r="D87" s="52">
        <f t="shared" si="0"/>
        <v>933432.74331943691</v>
      </c>
      <c r="E87" s="52">
        <f t="shared" si="0"/>
        <v>1623949.5694305226</v>
      </c>
      <c r="F87" s="52">
        <f t="shared" si="0"/>
        <v>2002853.536539624</v>
      </c>
    </row>
    <row r="88" spans="2:6" s="4" customFormat="1" x14ac:dyDescent="0.2">
      <c r="B88" s="68">
        <v>104</v>
      </c>
      <c r="C88" s="52">
        <f t="shared" si="0"/>
        <v>48457.747673623329</v>
      </c>
      <c r="D88" s="52">
        <f>D68-D29+D9</f>
        <v>28737.747673623049</v>
      </c>
      <c r="E88" s="52">
        <f t="shared" si="0"/>
        <v>7912.5</v>
      </c>
      <c r="F88" s="52">
        <f t="shared" si="0"/>
        <v>7912.5</v>
      </c>
    </row>
    <row r="89" spans="2:6" s="4" customFormat="1" x14ac:dyDescent="0.2">
      <c r="B89" s="68">
        <v>105</v>
      </c>
      <c r="C89" s="52">
        <f t="shared" si="0"/>
        <v>2006145.7959344415</v>
      </c>
      <c r="D89" s="52">
        <f t="shared" si="0"/>
        <v>3212909.0026324345</v>
      </c>
      <c r="E89" s="52">
        <f t="shared" si="0"/>
        <v>3730722.6664696718</v>
      </c>
      <c r="F89" s="52">
        <f t="shared" si="0"/>
        <v>4243468.0540699633</v>
      </c>
    </row>
    <row r="90" spans="2:6" s="4" customFormat="1" x14ac:dyDescent="0.2">
      <c r="B90" s="68">
        <v>106</v>
      </c>
      <c r="C90" s="52">
        <f t="shared" si="0"/>
        <v>4208291.2535157967</v>
      </c>
      <c r="D90" s="52">
        <f t="shared" si="0"/>
        <v>4275546.7757592555</v>
      </c>
      <c r="E90" s="52">
        <f t="shared" si="0"/>
        <v>4831081.490079008</v>
      </c>
      <c r="F90" s="52">
        <f t="shared" si="0"/>
        <v>5206199.6565919258</v>
      </c>
    </row>
    <row r="91" spans="2:6" s="4" customFormat="1" x14ac:dyDescent="0.2">
      <c r="B91" s="68">
        <v>107</v>
      </c>
      <c r="C91" s="52">
        <f t="shared" si="0"/>
        <v>2072529.8645910562</v>
      </c>
      <c r="D91" s="52">
        <f t="shared" si="0"/>
        <v>2299848.34439734</v>
      </c>
      <c r="E91" s="52">
        <f t="shared" si="0"/>
        <v>890319.3272374979</v>
      </c>
      <c r="F91" s="52">
        <f t="shared" si="0"/>
        <v>1410666.8225632082</v>
      </c>
    </row>
    <row r="92" spans="2:6" s="4" customFormat="1" x14ac:dyDescent="0.2">
      <c r="B92" s="68">
        <v>108</v>
      </c>
      <c r="C92" s="52">
        <f t="shared" si="0"/>
        <v>0</v>
      </c>
      <c r="D92" s="52">
        <f t="shared" si="0"/>
        <v>0</v>
      </c>
      <c r="E92" s="52">
        <f t="shared" si="0"/>
        <v>0</v>
      </c>
      <c r="F92" s="52">
        <f t="shared" si="0"/>
        <v>0</v>
      </c>
    </row>
    <row r="93" spans="2:6" s="4" customFormat="1" x14ac:dyDescent="0.2">
      <c r="B93" s="68">
        <v>109</v>
      </c>
      <c r="C93" s="52">
        <f t="shared" si="0"/>
        <v>1992857.6753931891</v>
      </c>
      <c r="D93" s="52">
        <f t="shared" si="0"/>
        <v>4358794.702526642</v>
      </c>
      <c r="E93" s="52">
        <f t="shared" si="0"/>
        <v>4710274.7733037453</v>
      </c>
      <c r="F93" s="52">
        <f t="shared" si="0"/>
        <v>5336188.8739042049</v>
      </c>
    </row>
    <row r="94" spans="2:6" s="4" customFormat="1" x14ac:dyDescent="0.2">
      <c r="B94" s="68">
        <v>110</v>
      </c>
      <c r="C94" s="52">
        <f t="shared" si="0"/>
        <v>0</v>
      </c>
      <c r="D94" s="52">
        <f t="shared" si="0"/>
        <v>0</v>
      </c>
      <c r="E94" s="52">
        <f t="shared" si="0"/>
        <v>0</v>
      </c>
      <c r="F94" s="52">
        <f t="shared" si="0"/>
        <v>0</v>
      </c>
    </row>
    <row r="95" spans="2:6" s="4" customFormat="1" x14ac:dyDescent="0.2">
      <c r="B95" s="68">
        <v>111</v>
      </c>
      <c r="C95" s="52">
        <f t="shared" si="0"/>
        <v>5357305.6962565398</v>
      </c>
      <c r="D95" s="52">
        <f t="shared" si="0"/>
        <v>6617211.0856554871</v>
      </c>
      <c r="E95" s="52">
        <f t="shared" si="0"/>
        <v>9296330.8454771824</v>
      </c>
      <c r="F95" s="52">
        <f t="shared" si="0"/>
        <v>10880276.263927357</v>
      </c>
    </row>
    <row r="96" spans="2:6" s="4" customFormat="1" x14ac:dyDescent="0.2">
      <c r="B96" s="68">
        <v>114</v>
      </c>
      <c r="C96" s="52">
        <f t="shared" si="0"/>
        <v>0</v>
      </c>
      <c r="D96" s="52">
        <f t="shared" si="0"/>
        <v>0</v>
      </c>
      <c r="E96" s="52">
        <f t="shared" si="0"/>
        <v>0</v>
      </c>
      <c r="F96" s="52">
        <f t="shared" si="0"/>
        <v>0</v>
      </c>
    </row>
    <row r="97" spans="1:8" s="4" customFormat="1" x14ac:dyDescent="0.2">
      <c r="B97" s="68">
        <v>115</v>
      </c>
      <c r="C97" s="52">
        <f t="shared" si="0"/>
        <v>0</v>
      </c>
      <c r="D97" s="52">
        <f t="shared" si="0"/>
        <v>0</v>
      </c>
      <c r="E97" s="52">
        <f t="shared" si="0"/>
        <v>0</v>
      </c>
      <c r="F97" s="52">
        <f t="shared" si="0"/>
        <v>0</v>
      </c>
    </row>
    <row r="98" spans="1:8" s="4" customFormat="1" x14ac:dyDescent="0.2">
      <c r="B98" s="68">
        <v>116</v>
      </c>
      <c r="C98" s="52">
        <f t="shared" si="0"/>
        <v>18808819.710681874</v>
      </c>
      <c r="D98" s="52">
        <f t="shared" si="0"/>
        <v>23344242.686818928</v>
      </c>
      <c r="E98" s="52">
        <f t="shared" si="0"/>
        <v>23675598.911769081</v>
      </c>
      <c r="F98" s="52">
        <f t="shared" si="0"/>
        <v>22663312.966762323</v>
      </c>
    </row>
    <row r="99" spans="1:8" s="4" customFormat="1" x14ac:dyDescent="0.2">
      <c r="B99" s="68">
        <v>118</v>
      </c>
      <c r="C99" s="52">
        <f t="shared" si="0"/>
        <v>91989.763759123482</v>
      </c>
      <c r="D99" s="52">
        <f t="shared" si="0"/>
        <v>63073.777598020228</v>
      </c>
      <c r="E99" s="52">
        <f t="shared" si="0"/>
        <v>57538.5051310298</v>
      </c>
      <c r="F99" s="52">
        <f t="shared" si="0"/>
        <v>17059.699281090714</v>
      </c>
    </row>
    <row r="100" spans="1:8" s="4" customFormat="1" x14ac:dyDescent="0.2">
      <c r="B100" s="72" t="s">
        <v>36</v>
      </c>
      <c r="C100" s="73">
        <f>SUM(C87:C99)</f>
        <v>35075950.062046364</v>
      </c>
      <c r="D100" s="73">
        <f>SUM(D87:D99)</f>
        <v>45133796.866381168</v>
      </c>
      <c r="E100" s="73">
        <f>SUM(E87:E99)</f>
        <v>48823728.588897742</v>
      </c>
      <c r="F100" s="73">
        <f>SUM(F87:F99)</f>
        <v>51767938.373639695</v>
      </c>
    </row>
    <row r="101" spans="1:8" s="4" customFormat="1" x14ac:dyDescent="0.2"/>
    <row r="102" spans="1:8" s="4" customFormat="1" ht="15.75" x14ac:dyDescent="0.25">
      <c r="A102" s="28"/>
      <c r="B102" s="28" t="s">
        <v>307</v>
      </c>
      <c r="C102" s="28"/>
      <c r="D102" s="28"/>
      <c r="E102" s="28"/>
      <c r="F102" s="28"/>
      <c r="G102" s="28"/>
      <c r="H102" s="28"/>
    </row>
    <row r="103" spans="1:8" s="4" customFormat="1" x14ac:dyDescent="0.2"/>
    <row r="104" spans="1:8" s="4" customFormat="1" hidden="1" x14ac:dyDescent="0.2"/>
    <row r="105" spans="1:8" s="4" customFormat="1" hidden="1" x14ac:dyDescent="0.2"/>
    <row r="106" spans="1:8" s="4" customFormat="1" hidden="1" x14ac:dyDescent="0.2"/>
    <row r="107" spans="1:8" s="4" customFormat="1" hidden="1" x14ac:dyDescent="0.2"/>
    <row r="108" spans="1:8" s="4" customFormat="1" hidden="1" x14ac:dyDescent="0.2"/>
    <row r="109" spans="1:8" s="4" customFormat="1" hidden="1" x14ac:dyDescent="0.2"/>
    <row r="110" spans="1:8" s="4" customFormat="1" hidden="1" x14ac:dyDescent="0.2"/>
    <row r="111" spans="1:8" s="4" customFormat="1" hidden="1" x14ac:dyDescent="0.2"/>
    <row r="112" spans="1:8" s="4" customFormat="1" hidden="1" x14ac:dyDescent="0.2"/>
    <row r="113" s="4" customFormat="1" hidden="1" x14ac:dyDescent="0.2"/>
    <row r="114" s="4" customFormat="1" hidden="1" x14ac:dyDescent="0.2"/>
    <row r="115" s="4" customFormat="1" hidden="1" x14ac:dyDescent="0.2"/>
    <row r="116" s="4" customFormat="1" hidden="1" x14ac:dyDescent="0.2"/>
    <row r="117" s="4" customFormat="1" hidden="1" x14ac:dyDescent="0.2"/>
    <row r="118" s="4" customFormat="1" hidden="1" x14ac:dyDescent="0.2"/>
    <row r="119" s="4" customFormat="1" hidden="1" x14ac:dyDescent="0.2"/>
    <row r="120" s="4" customFormat="1" hidden="1" x14ac:dyDescent="0.2"/>
    <row r="121" s="4" customFormat="1" hidden="1" x14ac:dyDescent="0.2"/>
    <row r="122" s="4" customFormat="1" hidden="1" x14ac:dyDescent="0.2"/>
    <row r="123" s="4" customFormat="1" hidden="1" x14ac:dyDescent="0.2"/>
    <row r="124" s="4" customFormat="1" hidden="1" x14ac:dyDescent="0.2"/>
    <row r="125" s="4" customFormat="1" hidden="1" x14ac:dyDescent="0.2"/>
    <row r="126" s="4" customFormat="1" hidden="1" x14ac:dyDescent="0.2"/>
    <row r="127" s="4" customFormat="1" hidden="1" x14ac:dyDescent="0.2"/>
    <row r="128" s="4" customFormat="1" hidden="1" x14ac:dyDescent="0.2"/>
    <row r="129" s="4" customFormat="1" hidden="1" x14ac:dyDescent="0.2"/>
    <row r="130" s="4" customFormat="1" hidden="1" x14ac:dyDescent="0.2"/>
    <row r="131" s="4" customFormat="1" hidden="1" x14ac:dyDescent="0.2"/>
    <row r="132" s="4" customFormat="1" hidden="1" x14ac:dyDescent="0.2"/>
    <row r="133" s="4" customFormat="1" hidden="1" x14ac:dyDescent="0.2"/>
    <row r="134" s="4" customFormat="1" hidden="1" x14ac:dyDescent="0.2"/>
    <row r="135" s="4" customFormat="1" hidden="1" x14ac:dyDescent="0.2"/>
    <row r="136" s="4" customFormat="1" hidden="1" x14ac:dyDescent="0.2"/>
    <row r="137" s="4" customFormat="1" hidden="1" x14ac:dyDescent="0.2"/>
    <row r="138" s="4" customFormat="1" hidden="1" x14ac:dyDescent="0.2"/>
    <row r="139" s="4" customFormat="1" hidden="1" x14ac:dyDescent="0.2"/>
    <row r="140" s="4" customFormat="1" hidden="1" x14ac:dyDescent="0.2"/>
    <row r="141" s="4" customFormat="1" hidden="1" x14ac:dyDescent="0.2"/>
    <row r="142" s="4" customFormat="1" hidden="1" x14ac:dyDescent="0.2"/>
    <row r="143" s="4" customFormat="1" hidden="1" x14ac:dyDescent="0.2"/>
    <row r="144" s="4" customFormat="1" hidden="1" x14ac:dyDescent="0.2"/>
    <row r="145" s="4" customFormat="1" hidden="1" x14ac:dyDescent="0.2"/>
    <row r="146" s="4" customFormat="1" hidden="1" x14ac:dyDescent="0.2"/>
    <row r="147" s="4" customFormat="1" hidden="1" x14ac:dyDescent="0.2"/>
    <row r="148" s="4" customFormat="1" hidden="1" x14ac:dyDescent="0.2"/>
    <row r="149" s="4" customFormat="1" hidden="1" x14ac:dyDescent="0.2"/>
    <row r="150" s="4" customFormat="1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</sheetData>
  <mergeCells count="5">
    <mergeCell ref="C65:F65"/>
    <mergeCell ref="C85:F85"/>
    <mergeCell ref="C6:F6"/>
    <mergeCell ref="C26:F26"/>
    <mergeCell ref="C46:F46"/>
  </mergeCells>
  <conditionalFormatting sqref="F2">
    <cfRule type="expression" dxfId="5" priority="1">
      <formula>F2="Check!"</formula>
    </cfRule>
  </conditionalFormatting>
  <hyperlinks>
    <hyperlink ref="F1" location="Menu!A1" display="Menu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theme="8" tint="0.59999389629810485"/>
  </sheetPr>
  <dimension ref="A1:U91"/>
  <sheetViews>
    <sheetView zoomScale="75" zoomScaleNormal="75" workbookViewId="0"/>
  </sheetViews>
  <sheetFormatPr defaultColWidth="0" defaultRowHeight="12.75" zeroHeight="1" x14ac:dyDescent="0.2"/>
  <cols>
    <col min="1" max="1" width="3.7109375" customWidth="1"/>
    <col min="2" max="2" width="15.5703125" customWidth="1"/>
    <col min="3" max="3" width="83.85546875" customWidth="1"/>
    <col min="4" max="4" width="13.7109375" customWidth="1"/>
    <col min="5" max="14" width="9.140625" customWidth="1"/>
    <col min="15" max="15" width="9.140625" style="162" customWidth="1"/>
    <col min="16" max="16" width="3.7109375" customWidth="1"/>
    <col min="17" max="16384" width="9.140625" hidden="1"/>
  </cols>
  <sheetData>
    <row r="1" spans="1:21" ht="18" x14ac:dyDescent="0.25">
      <c r="A1" s="26" t="str">
        <f>Menu!A1</f>
        <v>CitiPower - Connections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30" t="s">
        <v>39</v>
      </c>
      <c r="P1" s="26"/>
      <c r="Q1" s="26"/>
      <c r="R1" s="26"/>
      <c r="S1" s="26"/>
      <c r="T1" s="26"/>
      <c r="U1" s="26"/>
    </row>
    <row r="2" spans="1:21" ht="15.75" x14ac:dyDescent="0.25">
      <c r="A2" s="28" t="str">
        <f ca="1">RIGHT(CELL("filename", $A$1), LEN(CELL("filename", $A$1)) - SEARCH("]", CELL("filename", $A$1)))</f>
        <v>ACIF Growth Figures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43"/>
      <c r="P3" s="4"/>
      <c r="Q3" s="4"/>
      <c r="R3" s="4"/>
      <c r="S3" s="4"/>
      <c r="T3" s="4"/>
      <c r="U3" s="4"/>
    </row>
    <row r="4" spans="1:21" s="60" customFormat="1" x14ac:dyDescent="0.2">
      <c r="A4" s="4"/>
      <c r="B4" s="34" t="s">
        <v>176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43"/>
      <c r="P4" s="4"/>
      <c r="Q4" s="4"/>
      <c r="R4" s="4"/>
      <c r="S4" s="4"/>
      <c r="T4" s="4"/>
      <c r="U4" s="4"/>
    </row>
    <row r="5" spans="1:21" s="60" customFormat="1" x14ac:dyDescent="0.2">
      <c r="A5" s="4"/>
      <c r="B5" s="48" t="s">
        <v>232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43"/>
      <c r="P5" s="4"/>
      <c r="Q5" s="4"/>
      <c r="R5" s="4"/>
      <c r="S5" s="4"/>
      <c r="T5" s="4"/>
      <c r="U5" s="4"/>
    </row>
    <row r="6" spans="1:21" s="60" customFormat="1" ht="17.25" customHeight="1" x14ac:dyDescent="0.2">
      <c r="A6" s="4"/>
      <c r="B6" s="10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43"/>
      <c r="P6" s="4"/>
      <c r="Q6" s="4"/>
      <c r="R6" s="4"/>
      <c r="S6" s="4"/>
      <c r="T6" s="4"/>
      <c r="U6" s="4"/>
    </row>
    <row r="7" spans="1:21" s="60" customFormat="1" x14ac:dyDescent="0.2">
      <c r="A7" s="4"/>
      <c r="B7" s="3" t="s">
        <v>234</v>
      </c>
      <c r="C7" s="3" t="s">
        <v>235</v>
      </c>
      <c r="D7" s="3" t="s">
        <v>236</v>
      </c>
      <c r="E7" s="3" t="s">
        <v>262</v>
      </c>
      <c r="F7" s="3" t="s">
        <v>263</v>
      </c>
      <c r="G7" s="3" t="s">
        <v>264</v>
      </c>
      <c r="H7" s="3" t="s">
        <v>265</v>
      </c>
      <c r="I7" s="3" t="s">
        <v>266</v>
      </c>
      <c r="J7" s="3" t="s">
        <v>267</v>
      </c>
      <c r="K7" s="3" t="s">
        <v>268</v>
      </c>
      <c r="L7" s="3" t="s">
        <v>269</v>
      </c>
      <c r="M7" s="3" t="s">
        <v>270</v>
      </c>
      <c r="N7" s="3" t="s">
        <v>271</v>
      </c>
      <c r="O7" s="3" t="s">
        <v>311</v>
      </c>
      <c r="P7" s="4"/>
      <c r="Q7" s="4"/>
      <c r="R7" s="4"/>
      <c r="S7" s="4"/>
      <c r="T7" s="4"/>
      <c r="U7" s="4"/>
    </row>
    <row r="8" spans="1:21" s="60" customFormat="1" x14ac:dyDescent="0.2">
      <c r="A8" s="4"/>
      <c r="B8" s="2" t="s">
        <v>237</v>
      </c>
      <c r="C8" s="2" t="s">
        <v>238</v>
      </c>
      <c r="D8" s="95" t="s">
        <v>239</v>
      </c>
      <c r="E8" s="65">
        <v>7431</v>
      </c>
      <c r="F8" s="65">
        <v>7902</v>
      </c>
      <c r="G8" s="65">
        <v>8269</v>
      </c>
      <c r="H8" s="65">
        <v>8391</v>
      </c>
      <c r="I8" s="204">
        <v>7874</v>
      </c>
      <c r="J8" s="204">
        <v>7582</v>
      </c>
      <c r="K8" s="65">
        <v>7749</v>
      </c>
      <c r="L8" s="65">
        <v>7966</v>
      </c>
      <c r="M8" s="65">
        <v>8100</v>
      </c>
      <c r="N8" s="65">
        <v>8144</v>
      </c>
      <c r="O8" s="65">
        <v>8193</v>
      </c>
      <c r="P8" s="4"/>
      <c r="Q8" s="4"/>
      <c r="R8" s="4"/>
      <c r="S8" s="4"/>
      <c r="T8" s="4"/>
      <c r="U8" s="4"/>
    </row>
    <row r="9" spans="1:21" s="60" customFormat="1" x14ac:dyDescent="0.2">
      <c r="A9" s="4"/>
      <c r="B9" s="2" t="s">
        <v>237</v>
      </c>
      <c r="C9" s="2" t="s">
        <v>240</v>
      </c>
      <c r="D9" s="95" t="s">
        <v>239</v>
      </c>
      <c r="E9" s="65">
        <v>8034</v>
      </c>
      <c r="F9" s="65">
        <v>8589</v>
      </c>
      <c r="G9" s="65">
        <v>9145</v>
      </c>
      <c r="H9" s="65">
        <v>9071</v>
      </c>
      <c r="I9" s="65">
        <v>7912</v>
      </c>
      <c r="J9" s="65">
        <v>6939</v>
      </c>
      <c r="K9" s="65">
        <v>6313</v>
      </c>
      <c r="L9" s="65">
        <v>6471</v>
      </c>
      <c r="M9" s="65">
        <v>7515</v>
      </c>
      <c r="N9" s="65">
        <v>7862</v>
      </c>
      <c r="O9" s="65">
        <v>7914</v>
      </c>
      <c r="P9" s="4"/>
      <c r="Q9" s="4"/>
      <c r="R9" s="4"/>
      <c r="S9" s="4"/>
      <c r="T9" s="4"/>
      <c r="U9" s="4"/>
    </row>
    <row r="10" spans="1:21" s="60" customFormat="1" x14ac:dyDescent="0.2">
      <c r="A10" s="4"/>
      <c r="B10" s="2" t="s">
        <v>237</v>
      </c>
      <c r="C10" s="2" t="s">
        <v>241</v>
      </c>
      <c r="D10" s="95" t="s">
        <v>239</v>
      </c>
      <c r="E10" s="65">
        <v>2454</v>
      </c>
      <c r="F10" s="65">
        <v>2571</v>
      </c>
      <c r="G10" s="65">
        <v>2458</v>
      </c>
      <c r="H10" s="65">
        <v>2252</v>
      </c>
      <c r="I10" s="65">
        <v>2129</v>
      </c>
      <c r="J10" s="65">
        <v>2240</v>
      </c>
      <c r="K10" s="65">
        <v>2306</v>
      </c>
      <c r="L10" s="65">
        <v>2412</v>
      </c>
      <c r="M10" s="65">
        <v>2448</v>
      </c>
      <c r="N10" s="65">
        <v>2480</v>
      </c>
      <c r="O10" s="65">
        <v>2488</v>
      </c>
      <c r="P10" s="4"/>
      <c r="Q10" s="4"/>
      <c r="R10" s="4"/>
      <c r="S10" s="4"/>
      <c r="T10" s="4"/>
      <c r="U10" s="4"/>
    </row>
    <row r="11" spans="1:21" s="60" customFormat="1" x14ac:dyDescent="0.2">
      <c r="A11" s="4"/>
      <c r="B11" s="2" t="s">
        <v>237</v>
      </c>
      <c r="C11" s="2" t="s">
        <v>242</v>
      </c>
      <c r="D11" s="95" t="s">
        <v>239</v>
      </c>
      <c r="E11" s="65">
        <v>5044</v>
      </c>
      <c r="F11" s="65">
        <v>5591</v>
      </c>
      <c r="G11" s="65">
        <v>5156</v>
      </c>
      <c r="H11" s="65">
        <v>5269</v>
      </c>
      <c r="I11" s="65">
        <v>5067</v>
      </c>
      <c r="J11" s="65">
        <v>4837</v>
      </c>
      <c r="K11" s="65">
        <v>4978</v>
      </c>
      <c r="L11" s="65">
        <v>5307</v>
      </c>
      <c r="M11" s="65">
        <v>5602</v>
      </c>
      <c r="N11" s="65">
        <v>5704</v>
      </c>
      <c r="O11" s="65">
        <v>5676</v>
      </c>
      <c r="P11" s="4"/>
      <c r="Q11" s="4"/>
      <c r="R11" s="4"/>
      <c r="S11" s="4"/>
      <c r="T11" s="4"/>
      <c r="U11" s="4"/>
    </row>
    <row r="12" spans="1:21" s="60" customFormat="1" x14ac:dyDescent="0.2">
      <c r="A12" s="4"/>
      <c r="B12" s="2" t="s">
        <v>243</v>
      </c>
      <c r="C12" s="2" t="s">
        <v>244</v>
      </c>
      <c r="D12" s="95" t="s">
        <v>239</v>
      </c>
      <c r="E12" s="65">
        <v>1302</v>
      </c>
      <c r="F12" s="65">
        <v>1385</v>
      </c>
      <c r="G12" s="65">
        <v>1182</v>
      </c>
      <c r="H12" s="65">
        <v>1223</v>
      </c>
      <c r="I12" s="65">
        <v>1256</v>
      </c>
      <c r="J12" s="65">
        <v>1281</v>
      </c>
      <c r="K12" s="65">
        <v>1317</v>
      </c>
      <c r="L12" s="65">
        <v>1304</v>
      </c>
      <c r="M12" s="65">
        <v>1242</v>
      </c>
      <c r="N12" s="65">
        <v>1214</v>
      </c>
      <c r="O12" s="65">
        <v>1255</v>
      </c>
      <c r="P12" s="4"/>
      <c r="Q12" s="4"/>
      <c r="R12" s="4"/>
      <c r="S12" s="4"/>
      <c r="T12" s="4"/>
      <c r="U12" s="4"/>
    </row>
    <row r="13" spans="1:21" s="60" customFormat="1" x14ac:dyDescent="0.2">
      <c r="A13" s="4"/>
      <c r="B13" s="2" t="s">
        <v>243</v>
      </c>
      <c r="C13" s="2" t="s">
        <v>245</v>
      </c>
      <c r="D13" s="95" t="s">
        <v>239</v>
      </c>
      <c r="E13" s="65">
        <v>1816</v>
      </c>
      <c r="F13" s="65">
        <v>1478</v>
      </c>
      <c r="G13" s="65">
        <v>2238</v>
      </c>
      <c r="H13" s="65">
        <v>2764</v>
      </c>
      <c r="I13" s="65">
        <v>2656</v>
      </c>
      <c r="J13" s="65">
        <v>2586</v>
      </c>
      <c r="K13" s="65">
        <v>2471</v>
      </c>
      <c r="L13" s="65">
        <v>1965</v>
      </c>
      <c r="M13" s="65">
        <v>1976</v>
      </c>
      <c r="N13" s="65">
        <v>2196</v>
      </c>
      <c r="O13" s="65">
        <v>2243</v>
      </c>
      <c r="P13" s="4"/>
      <c r="Q13" s="4"/>
      <c r="R13" s="4"/>
      <c r="S13" s="4"/>
      <c r="T13" s="4"/>
      <c r="U13" s="4"/>
    </row>
    <row r="14" spans="1:21" s="60" customFormat="1" x14ac:dyDescent="0.2">
      <c r="A14" s="4"/>
      <c r="B14" s="2" t="s">
        <v>243</v>
      </c>
      <c r="C14" s="2" t="s">
        <v>246</v>
      </c>
      <c r="D14" s="95" t="s">
        <v>239</v>
      </c>
      <c r="E14" s="65">
        <v>218</v>
      </c>
      <c r="F14" s="65">
        <v>141</v>
      </c>
      <c r="G14" s="65">
        <v>322</v>
      </c>
      <c r="H14" s="65">
        <v>400</v>
      </c>
      <c r="I14" s="65">
        <v>285</v>
      </c>
      <c r="J14" s="65">
        <v>273</v>
      </c>
      <c r="K14" s="65">
        <v>277</v>
      </c>
      <c r="L14" s="65">
        <v>264</v>
      </c>
      <c r="M14" s="65">
        <v>268</v>
      </c>
      <c r="N14" s="65">
        <v>272</v>
      </c>
      <c r="O14" s="65">
        <v>282</v>
      </c>
      <c r="P14" s="4"/>
      <c r="Q14" s="4"/>
      <c r="R14" s="4"/>
      <c r="S14" s="4"/>
      <c r="T14" s="4"/>
      <c r="U14" s="4"/>
    </row>
    <row r="15" spans="1:21" s="60" customFormat="1" x14ac:dyDescent="0.2">
      <c r="A15" s="4"/>
      <c r="B15" s="2" t="s">
        <v>243</v>
      </c>
      <c r="C15" s="2" t="s">
        <v>247</v>
      </c>
      <c r="D15" s="95" t="s">
        <v>239</v>
      </c>
      <c r="E15" s="65">
        <v>1322</v>
      </c>
      <c r="F15" s="65">
        <v>1471</v>
      </c>
      <c r="G15" s="65">
        <v>1464</v>
      </c>
      <c r="H15" s="65">
        <v>1399</v>
      </c>
      <c r="I15" s="65">
        <v>1427</v>
      </c>
      <c r="J15" s="65">
        <v>1434</v>
      </c>
      <c r="K15" s="65">
        <v>1442</v>
      </c>
      <c r="L15" s="65">
        <v>1519</v>
      </c>
      <c r="M15" s="65">
        <v>1548</v>
      </c>
      <c r="N15" s="65">
        <v>1507</v>
      </c>
      <c r="O15" s="65">
        <v>1503</v>
      </c>
      <c r="P15" s="4"/>
      <c r="Q15" s="4"/>
      <c r="R15" s="4"/>
      <c r="S15" s="4"/>
      <c r="T15" s="4"/>
      <c r="U15" s="4"/>
    </row>
    <row r="16" spans="1:21" s="60" customFormat="1" x14ac:dyDescent="0.2">
      <c r="A16" s="4"/>
      <c r="B16" s="2" t="s">
        <v>243</v>
      </c>
      <c r="C16" s="2" t="s">
        <v>248</v>
      </c>
      <c r="D16" s="95" t="s">
        <v>239</v>
      </c>
      <c r="E16" s="65">
        <v>1155</v>
      </c>
      <c r="F16" s="65">
        <v>891</v>
      </c>
      <c r="G16" s="65">
        <v>1197</v>
      </c>
      <c r="H16" s="65">
        <v>971</v>
      </c>
      <c r="I16" s="65">
        <v>894</v>
      </c>
      <c r="J16" s="65">
        <v>938</v>
      </c>
      <c r="K16" s="65">
        <v>1064</v>
      </c>
      <c r="L16" s="65">
        <v>1046</v>
      </c>
      <c r="M16" s="65">
        <v>923</v>
      </c>
      <c r="N16" s="65">
        <v>922</v>
      </c>
      <c r="O16" s="65">
        <v>933</v>
      </c>
      <c r="P16" s="4"/>
      <c r="Q16" s="4"/>
      <c r="R16" s="4"/>
      <c r="S16" s="4"/>
      <c r="T16" s="4"/>
      <c r="U16" s="4"/>
    </row>
    <row r="17" spans="1:21" s="60" customFormat="1" x14ac:dyDescent="0.2">
      <c r="A17" s="4"/>
      <c r="B17" s="2" t="s">
        <v>243</v>
      </c>
      <c r="C17" s="2" t="s">
        <v>249</v>
      </c>
      <c r="D17" s="95" t="s">
        <v>239</v>
      </c>
      <c r="E17" s="65">
        <v>348</v>
      </c>
      <c r="F17" s="65">
        <v>675</v>
      </c>
      <c r="G17" s="65">
        <v>766</v>
      </c>
      <c r="H17" s="65">
        <v>635</v>
      </c>
      <c r="I17" s="65">
        <v>702</v>
      </c>
      <c r="J17" s="65">
        <v>733</v>
      </c>
      <c r="K17" s="65">
        <v>702</v>
      </c>
      <c r="L17" s="65">
        <v>567</v>
      </c>
      <c r="M17" s="65">
        <v>563</v>
      </c>
      <c r="N17" s="65">
        <v>580</v>
      </c>
      <c r="O17" s="65">
        <v>576</v>
      </c>
      <c r="P17" s="4"/>
      <c r="Q17" s="4"/>
      <c r="R17" s="4"/>
      <c r="S17" s="4"/>
      <c r="T17" s="4"/>
      <c r="U17" s="4"/>
    </row>
    <row r="18" spans="1:21" s="60" customFormat="1" x14ac:dyDescent="0.2">
      <c r="A18" s="4"/>
      <c r="B18" s="2" t="s">
        <v>243</v>
      </c>
      <c r="C18" s="2" t="s">
        <v>250</v>
      </c>
      <c r="D18" s="95" t="s">
        <v>239</v>
      </c>
      <c r="E18" s="65">
        <v>209</v>
      </c>
      <c r="F18" s="65">
        <v>399</v>
      </c>
      <c r="G18" s="65">
        <v>679</v>
      </c>
      <c r="H18" s="65">
        <v>696</v>
      </c>
      <c r="I18" s="65">
        <v>500</v>
      </c>
      <c r="J18" s="65">
        <v>549</v>
      </c>
      <c r="K18" s="65">
        <v>523</v>
      </c>
      <c r="L18" s="65">
        <v>447</v>
      </c>
      <c r="M18" s="65">
        <v>408</v>
      </c>
      <c r="N18" s="65">
        <v>391</v>
      </c>
      <c r="O18" s="65">
        <v>335</v>
      </c>
      <c r="P18" s="4"/>
      <c r="Q18" s="4"/>
      <c r="R18" s="4"/>
      <c r="S18" s="4"/>
      <c r="T18" s="4"/>
      <c r="U18" s="4"/>
    </row>
    <row r="19" spans="1:21" s="60" customFormat="1" x14ac:dyDescent="0.2">
      <c r="A19" s="4"/>
      <c r="B19" s="2" t="s">
        <v>243</v>
      </c>
      <c r="C19" s="2" t="s">
        <v>251</v>
      </c>
      <c r="D19" s="95" t="s">
        <v>239</v>
      </c>
      <c r="E19" s="65">
        <v>517</v>
      </c>
      <c r="F19" s="65">
        <v>560</v>
      </c>
      <c r="G19" s="65">
        <v>434</v>
      </c>
      <c r="H19" s="65">
        <v>723</v>
      </c>
      <c r="I19" s="65">
        <v>627</v>
      </c>
      <c r="J19" s="65">
        <v>678</v>
      </c>
      <c r="K19" s="65">
        <v>644</v>
      </c>
      <c r="L19" s="65">
        <v>627</v>
      </c>
      <c r="M19" s="65">
        <v>609</v>
      </c>
      <c r="N19" s="65">
        <v>596</v>
      </c>
      <c r="O19" s="65">
        <v>588</v>
      </c>
      <c r="P19" s="4"/>
      <c r="Q19" s="4"/>
      <c r="R19" s="4"/>
      <c r="S19" s="4"/>
      <c r="T19" s="4"/>
      <c r="U19" s="4"/>
    </row>
    <row r="20" spans="1:21" s="60" customFormat="1" x14ac:dyDescent="0.2">
      <c r="A20" s="4"/>
      <c r="B20" s="2" t="s">
        <v>237</v>
      </c>
      <c r="C20" s="2" t="s">
        <v>238</v>
      </c>
      <c r="D20" s="95" t="s">
        <v>252</v>
      </c>
      <c r="E20" s="65">
        <v>3163</v>
      </c>
      <c r="F20" s="65">
        <v>3044</v>
      </c>
      <c r="G20" s="65">
        <v>2952</v>
      </c>
      <c r="H20" s="65">
        <v>3054.0000000000005</v>
      </c>
      <c r="I20" s="65">
        <v>3002</v>
      </c>
      <c r="J20" s="65">
        <v>3012</v>
      </c>
      <c r="K20" s="65">
        <v>3116.9999999999995</v>
      </c>
      <c r="L20" s="65">
        <v>3203</v>
      </c>
      <c r="M20" s="65">
        <v>3223.0000000000005</v>
      </c>
      <c r="N20" s="65">
        <v>3263</v>
      </c>
      <c r="O20" s="65">
        <v>3322.0000000000005</v>
      </c>
      <c r="P20" s="4"/>
      <c r="Q20" s="4"/>
      <c r="R20" s="4"/>
      <c r="S20" s="4"/>
      <c r="T20" s="4"/>
      <c r="U20" s="4"/>
    </row>
    <row r="21" spans="1:21" s="60" customFormat="1" x14ac:dyDescent="0.2">
      <c r="A21" s="4"/>
      <c r="B21" s="2" t="s">
        <v>237</v>
      </c>
      <c r="C21" s="2" t="s">
        <v>240</v>
      </c>
      <c r="D21" s="95" t="s">
        <v>252</v>
      </c>
      <c r="E21" s="65">
        <v>279</v>
      </c>
      <c r="F21" s="65">
        <v>167</v>
      </c>
      <c r="G21" s="65">
        <v>175</v>
      </c>
      <c r="H21" s="65">
        <v>208.46162012952544</v>
      </c>
      <c r="I21" s="65">
        <v>162.21870000000001</v>
      </c>
      <c r="J21" s="65">
        <v>149.62129503131968</v>
      </c>
      <c r="K21" s="65">
        <v>141.68753695485486</v>
      </c>
      <c r="L21" s="65">
        <v>159.50246738782525</v>
      </c>
      <c r="M21" s="65">
        <v>166.51055454813556</v>
      </c>
      <c r="N21" s="65">
        <v>169.43870696792274</v>
      </c>
      <c r="O21" s="65">
        <v>170.20269261777298</v>
      </c>
      <c r="P21" s="4"/>
      <c r="Q21" s="4"/>
      <c r="R21" s="4"/>
      <c r="S21" s="4"/>
      <c r="T21" s="4"/>
      <c r="U21" s="4"/>
    </row>
    <row r="22" spans="1:21" s="60" customFormat="1" x14ac:dyDescent="0.2">
      <c r="A22" s="4"/>
      <c r="B22" s="2" t="s">
        <v>237</v>
      </c>
      <c r="C22" s="2" t="s">
        <v>241</v>
      </c>
      <c r="D22" s="95" t="s">
        <v>252</v>
      </c>
      <c r="E22" s="65">
        <v>224</v>
      </c>
      <c r="F22" s="65">
        <v>353</v>
      </c>
      <c r="G22" s="65">
        <v>200</v>
      </c>
      <c r="H22" s="65">
        <v>325</v>
      </c>
      <c r="I22" s="65">
        <v>294</v>
      </c>
      <c r="J22" s="65">
        <v>332.99999999999994</v>
      </c>
      <c r="K22" s="65">
        <v>344.99999999999994</v>
      </c>
      <c r="L22" s="65">
        <v>367.00000000000006</v>
      </c>
      <c r="M22" s="65">
        <v>374</v>
      </c>
      <c r="N22" s="65">
        <v>383</v>
      </c>
      <c r="O22" s="65">
        <v>390</v>
      </c>
      <c r="P22" s="4"/>
      <c r="Q22" s="4"/>
      <c r="R22" s="4"/>
      <c r="S22" s="4"/>
      <c r="T22" s="4"/>
      <c r="U22" s="4"/>
    </row>
    <row r="23" spans="1:21" s="60" customFormat="1" x14ac:dyDescent="0.2">
      <c r="A23" s="4"/>
      <c r="B23" s="2" t="s">
        <v>237</v>
      </c>
      <c r="C23" s="2" t="s">
        <v>242</v>
      </c>
      <c r="D23" s="95" t="s">
        <v>252</v>
      </c>
      <c r="E23" s="65">
        <v>1421</v>
      </c>
      <c r="F23" s="65">
        <v>1576</v>
      </c>
      <c r="G23" s="65">
        <v>1478</v>
      </c>
      <c r="H23" s="65">
        <v>1462</v>
      </c>
      <c r="I23" s="65">
        <v>1419</v>
      </c>
      <c r="J23" s="65">
        <v>1477</v>
      </c>
      <c r="K23" s="65">
        <v>1554</v>
      </c>
      <c r="L23" s="65">
        <v>1651</v>
      </c>
      <c r="M23" s="65">
        <v>1667</v>
      </c>
      <c r="N23" s="65">
        <v>1693</v>
      </c>
      <c r="O23" s="65">
        <v>1701</v>
      </c>
      <c r="P23" s="4"/>
      <c r="Q23" s="4"/>
      <c r="R23" s="4"/>
      <c r="S23" s="4"/>
      <c r="T23" s="4"/>
      <c r="U23" s="4"/>
    </row>
    <row r="24" spans="1:21" s="60" customFormat="1" x14ac:dyDescent="0.2">
      <c r="A24" s="4"/>
      <c r="B24" s="2" t="s">
        <v>243</v>
      </c>
      <c r="C24" s="2" t="s">
        <v>244</v>
      </c>
      <c r="D24" s="95" t="s">
        <v>252</v>
      </c>
      <c r="E24" s="65">
        <v>307</v>
      </c>
      <c r="F24" s="65">
        <v>434</v>
      </c>
      <c r="G24" s="65">
        <v>257</v>
      </c>
      <c r="H24" s="65">
        <v>288.12393767705379</v>
      </c>
      <c r="I24" s="65">
        <v>302.68484419263456</v>
      </c>
      <c r="J24" s="65">
        <v>335.99291784702547</v>
      </c>
      <c r="K24" s="65">
        <v>319.42988668555239</v>
      </c>
      <c r="L24" s="65">
        <v>301.59277620396597</v>
      </c>
      <c r="M24" s="65">
        <v>291.94617563739376</v>
      </c>
      <c r="N24" s="65">
        <v>293.22025495750705</v>
      </c>
      <c r="O24" s="65">
        <v>307.41713881019831</v>
      </c>
      <c r="P24" s="4"/>
      <c r="Q24" s="4"/>
      <c r="R24" s="4"/>
      <c r="S24" s="4"/>
      <c r="T24" s="4"/>
      <c r="U24" s="4"/>
    </row>
    <row r="25" spans="1:21" s="60" customFormat="1" x14ac:dyDescent="0.2">
      <c r="A25" s="4"/>
      <c r="B25" s="2" t="s">
        <v>243</v>
      </c>
      <c r="C25" s="2" t="s">
        <v>245</v>
      </c>
      <c r="D25" s="95" t="s">
        <v>252</v>
      </c>
      <c r="E25" s="65">
        <v>116</v>
      </c>
      <c r="F25" s="65">
        <v>158</v>
      </c>
      <c r="G25" s="65">
        <v>263</v>
      </c>
      <c r="H25" s="65">
        <v>232.41481773336403</v>
      </c>
      <c r="I25" s="65">
        <v>258.39944550777682</v>
      </c>
      <c r="J25" s="65">
        <v>247.92634787237256</v>
      </c>
      <c r="K25" s="65">
        <v>242.99370149553667</v>
      </c>
      <c r="L25" s="65">
        <v>202.9803421846911</v>
      </c>
      <c r="M25" s="65">
        <v>213.80809941593066</v>
      </c>
      <c r="N25" s="65">
        <v>240.20760866058637</v>
      </c>
      <c r="O25" s="65">
        <v>229.75993189132578</v>
      </c>
      <c r="P25" s="4"/>
      <c r="Q25" s="4"/>
      <c r="R25" s="4"/>
      <c r="S25" s="4"/>
      <c r="T25" s="4"/>
      <c r="U25" s="4"/>
    </row>
    <row r="26" spans="1:21" s="60" customFormat="1" x14ac:dyDescent="0.2">
      <c r="A26" s="4"/>
      <c r="B26" s="2" t="s">
        <v>243</v>
      </c>
      <c r="C26" s="2" t="s">
        <v>246</v>
      </c>
      <c r="D26" s="95" t="s">
        <v>252</v>
      </c>
      <c r="E26" s="65">
        <v>83</v>
      </c>
      <c r="F26" s="65">
        <v>68</v>
      </c>
      <c r="G26" s="65">
        <v>159</v>
      </c>
      <c r="H26" s="65">
        <v>146.73354979667516</v>
      </c>
      <c r="I26" s="65">
        <v>129.63132609624637</v>
      </c>
      <c r="J26" s="65">
        <v>113.29030427393846</v>
      </c>
      <c r="K26" s="65">
        <v>114.17042835375621</v>
      </c>
      <c r="L26" s="65">
        <v>116.95985613040335</v>
      </c>
      <c r="M26" s="65">
        <v>118.67798327337677</v>
      </c>
      <c r="N26" s="65">
        <v>120.14224259704829</v>
      </c>
      <c r="O26" s="65">
        <v>127.0893242632487</v>
      </c>
      <c r="P26" s="4"/>
      <c r="Q26" s="4"/>
      <c r="R26" s="4"/>
      <c r="S26" s="4"/>
      <c r="T26" s="4"/>
      <c r="U26" s="4"/>
    </row>
    <row r="27" spans="1:21" s="60" customFormat="1" x14ac:dyDescent="0.2">
      <c r="A27" s="4"/>
      <c r="B27" s="2" t="s">
        <v>243</v>
      </c>
      <c r="C27" s="2" t="s">
        <v>247</v>
      </c>
      <c r="D27" s="95" t="s">
        <v>252</v>
      </c>
      <c r="E27" s="65">
        <v>252</v>
      </c>
      <c r="F27" s="65">
        <v>189</v>
      </c>
      <c r="G27" s="65">
        <v>242</v>
      </c>
      <c r="H27" s="65">
        <v>223.96501927859453</v>
      </c>
      <c r="I27" s="65">
        <v>225.06837448984197</v>
      </c>
      <c r="J27" s="65">
        <v>228.99291293526966</v>
      </c>
      <c r="K27" s="65">
        <v>238.17910580641518</v>
      </c>
      <c r="L27" s="65">
        <v>252.63834213688619</v>
      </c>
      <c r="M27" s="65">
        <v>265.84474712290444</v>
      </c>
      <c r="N27" s="65">
        <v>262.50237560054853</v>
      </c>
      <c r="O27" s="65">
        <v>260.45131867664225</v>
      </c>
      <c r="P27" s="4"/>
      <c r="Q27" s="4"/>
      <c r="R27" s="4"/>
      <c r="S27" s="4"/>
      <c r="T27" s="4"/>
      <c r="U27" s="4"/>
    </row>
    <row r="28" spans="1:21" s="60" customFormat="1" x14ac:dyDescent="0.2">
      <c r="A28" s="4"/>
      <c r="B28" s="2" t="s">
        <v>243</v>
      </c>
      <c r="C28" s="2" t="s">
        <v>248</v>
      </c>
      <c r="D28" s="95" t="s">
        <v>252</v>
      </c>
      <c r="E28" s="65">
        <v>449</v>
      </c>
      <c r="F28" s="65">
        <v>277</v>
      </c>
      <c r="G28" s="65">
        <v>209</v>
      </c>
      <c r="H28" s="65">
        <v>274.75742580222777</v>
      </c>
      <c r="I28" s="65">
        <v>273.87103927482264</v>
      </c>
      <c r="J28" s="65">
        <v>262.91361307714192</v>
      </c>
      <c r="K28" s="65">
        <v>290.09719947876187</v>
      </c>
      <c r="L28" s="65">
        <v>272.59503456390962</v>
      </c>
      <c r="M28" s="65">
        <v>249.02372137340473</v>
      </c>
      <c r="N28" s="65">
        <v>262.7688990367638</v>
      </c>
      <c r="O28" s="65">
        <v>360.46620372073653</v>
      </c>
      <c r="P28" s="4"/>
      <c r="Q28" s="4"/>
      <c r="R28" s="4"/>
      <c r="S28" s="4"/>
      <c r="T28" s="4"/>
      <c r="U28" s="4"/>
    </row>
    <row r="29" spans="1:21" s="60" customFormat="1" x14ac:dyDescent="0.2">
      <c r="A29" s="4"/>
      <c r="B29" s="2" t="s">
        <v>243</v>
      </c>
      <c r="C29" s="2" t="s">
        <v>249</v>
      </c>
      <c r="D29" s="95" t="s">
        <v>252</v>
      </c>
      <c r="E29" s="65">
        <v>59</v>
      </c>
      <c r="F29" s="65">
        <v>206</v>
      </c>
      <c r="G29" s="65">
        <v>209</v>
      </c>
      <c r="H29" s="65">
        <v>174.76358006178745</v>
      </c>
      <c r="I29" s="65">
        <v>174.13281815364797</v>
      </c>
      <c r="J29" s="65">
        <v>180.58622295188914</v>
      </c>
      <c r="K29" s="65">
        <v>169.61923943625601</v>
      </c>
      <c r="L29" s="65">
        <v>137.41676810655261</v>
      </c>
      <c r="M29" s="65">
        <v>138.09063197574892</v>
      </c>
      <c r="N29" s="65">
        <v>144.43520098980989</v>
      </c>
      <c r="O29" s="65">
        <v>270.19463981339237</v>
      </c>
      <c r="P29" s="4"/>
      <c r="Q29" s="4"/>
      <c r="R29" s="4"/>
      <c r="S29" s="4"/>
      <c r="T29" s="4"/>
      <c r="U29" s="4"/>
    </row>
    <row r="30" spans="1:21" s="60" customFormat="1" x14ac:dyDescent="0.2">
      <c r="A30" s="4"/>
      <c r="B30" s="2" t="s">
        <v>243</v>
      </c>
      <c r="C30" s="2" t="s">
        <v>250</v>
      </c>
      <c r="D30" s="95" t="s">
        <v>252</v>
      </c>
      <c r="E30" s="65">
        <v>16</v>
      </c>
      <c r="F30" s="65">
        <v>29</v>
      </c>
      <c r="G30" s="65">
        <v>32</v>
      </c>
      <c r="H30" s="65">
        <v>36.203370318222909</v>
      </c>
      <c r="I30" s="65">
        <v>29.605797732396717</v>
      </c>
      <c r="J30" s="65">
        <v>27.133383910467352</v>
      </c>
      <c r="K30" s="65">
        <v>28.729569351887502</v>
      </c>
      <c r="L30" s="65">
        <v>23.785160112939661</v>
      </c>
      <c r="M30" s="65">
        <v>22.253792164085965</v>
      </c>
      <c r="N30" s="65">
        <v>22.546521595892294</v>
      </c>
      <c r="O30" s="65">
        <v>19.827409264728647</v>
      </c>
      <c r="P30" s="4"/>
      <c r="Q30" s="4"/>
      <c r="R30" s="4"/>
      <c r="S30" s="4"/>
      <c r="T30" s="4"/>
      <c r="U30" s="4"/>
    </row>
    <row r="31" spans="1:21" s="60" customFormat="1" x14ac:dyDescent="0.2">
      <c r="A31" s="4"/>
      <c r="B31" s="2" t="s">
        <v>243</v>
      </c>
      <c r="C31" s="2" t="s">
        <v>251</v>
      </c>
      <c r="D31" s="95" t="s">
        <v>252</v>
      </c>
      <c r="E31" s="65">
        <v>184</v>
      </c>
      <c r="F31" s="65">
        <v>186</v>
      </c>
      <c r="G31" s="65">
        <v>215</v>
      </c>
      <c r="H31" s="65">
        <v>271.50341345246335</v>
      </c>
      <c r="I31" s="65">
        <v>319.48018827207937</v>
      </c>
      <c r="J31" s="65">
        <v>329.55449734222378</v>
      </c>
      <c r="K31" s="65">
        <v>310.71150293580661</v>
      </c>
      <c r="L31" s="65">
        <v>307.88569421126925</v>
      </c>
      <c r="M31" s="65">
        <v>304.88612759398859</v>
      </c>
      <c r="N31" s="65">
        <v>300.30899200063703</v>
      </c>
      <c r="O31" s="65">
        <v>299.9782021247338</v>
      </c>
      <c r="P31" s="4"/>
      <c r="Q31" s="4"/>
      <c r="R31" s="4"/>
      <c r="S31" s="4"/>
      <c r="T31" s="4"/>
      <c r="U31" s="4"/>
    </row>
    <row r="32" spans="1:21" s="60" customFormat="1" x14ac:dyDescent="0.2">
      <c r="A32" s="4"/>
      <c r="B32" s="2" t="s">
        <v>253</v>
      </c>
      <c r="C32" s="2" t="s">
        <v>254</v>
      </c>
      <c r="D32" s="95" t="s">
        <v>255</v>
      </c>
      <c r="E32" s="65">
        <v>2857</v>
      </c>
      <c r="F32" s="65">
        <v>3270</v>
      </c>
      <c r="G32" s="65">
        <v>4304</v>
      </c>
      <c r="H32" s="65">
        <v>4407</v>
      </c>
      <c r="I32" s="65">
        <v>4969</v>
      </c>
      <c r="J32" s="65">
        <v>5100</v>
      </c>
      <c r="K32" s="65">
        <v>5351</v>
      </c>
      <c r="L32" s="65">
        <v>4655</v>
      </c>
      <c r="M32" s="65">
        <v>4573</v>
      </c>
      <c r="N32" s="65">
        <v>4251</v>
      </c>
      <c r="O32" s="65">
        <v>4202</v>
      </c>
      <c r="P32" s="4"/>
      <c r="Q32" s="4"/>
      <c r="R32" s="4"/>
      <c r="S32" s="4"/>
      <c r="T32" s="4"/>
      <c r="U32" s="4"/>
    </row>
    <row r="33" spans="1:21" s="60" customFormat="1" x14ac:dyDescent="0.2">
      <c r="A33" s="4"/>
      <c r="B33" s="2" t="s">
        <v>253</v>
      </c>
      <c r="C33" s="2" t="s">
        <v>256</v>
      </c>
      <c r="D33" s="95" t="s">
        <v>255</v>
      </c>
      <c r="E33" s="65">
        <v>1211</v>
      </c>
      <c r="F33" s="65">
        <v>1460</v>
      </c>
      <c r="G33" s="65">
        <v>2921</v>
      </c>
      <c r="H33" s="65">
        <v>3483</v>
      </c>
      <c r="I33" s="65">
        <v>4888</v>
      </c>
      <c r="J33" s="65">
        <v>5074</v>
      </c>
      <c r="K33" s="65">
        <v>4886</v>
      </c>
      <c r="L33" s="65">
        <v>4450</v>
      </c>
      <c r="M33" s="65">
        <v>3789</v>
      </c>
      <c r="N33" s="65">
        <v>3388</v>
      </c>
      <c r="O33" s="65">
        <v>2937</v>
      </c>
      <c r="P33" s="4"/>
      <c r="Q33" s="4"/>
      <c r="R33" s="4"/>
      <c r="S33" s="4"/>
      <c r="T33" s="4"/>
      <c r="U33" s="4"/>
    </row>
    <row r="34" spans="1:21" s="60" customFormat="1" x14ac:dyDescent="0.2">
      <c r="A34" s="4"/>
      <c r="B34" s="2" t="s">
        <v>253</v>
      </c>
      <c r="C34" s="2" t="s">
        <v>257</v>
      </c>
      <c r="D34" s="95" t="s">
        <v>255</v>
      </c>
      <c r="E34" s="65">
        <v>2356</v>
      </c>
      <c r="F34" s="65">
        <v>2042</v>
      </c>
      <c r="G34" s="65">
        <v>2662</v>
      </c>
      <c r="H34" s="65">
        <v>3645</v>
      </c>
      <c r="I34" s="65">
        <v>3524</v>
      </c>
      <c r="J34" s="65">
        <v>3643</v>
      </c>
      <c r="K34" s="65">
        <v>3117</v>
      </c>
      <c r="L34" s="65">
        <v>2952</v>
      </c>
      <c r="M34" s="65">
        <v>2676</v>
      </c>
      <c r="N34" s="65">
        <v>2733</v>
      </c>
      <c r="O34" s="65">
        <v>2697</v>
      </c>
      <c r="P34" s="4"/>
      <c r="Q34" s="4"/>
      <c r="R34" s="4"/>
      <c r="S34" s="4"/>
      <c r="T34" s="4"/>
      <c r="U34" s="4"/>
    </row>
    <row r="35" spans="1:21" s="60" customFormat="1" x14ac:dyDescent="0.2">
      <c r="A35" s="4"/>
      <c r="B35" s="2" t="s">
        <v>253</v>
      </c>
      <c r="C35" s="2" t="s">
        <v>258</v>
      </c>
      <c r="D35" s="95" t="s">
        <v>255</v>
      </c>
      <c r="E35" s="65">
        <v>729</v>
      </c>
      <c r="F35" s="65">
        <v>725</v>
      </c>
      <c r="G35" s="65">
        <v>1167</v>
      </c>
      <c r="H35" s="65">
        <v>1167</v>
      </c>
      <c r="I35" s="65">
        <v>1303</v>
      </c>
      <c r="J35" s="65">
        <v>1475</v>
      </c>
      <c r="K35" s="65">
        <v>1518</v>
      </c>
      <c r="L35" s="65">
        <v>1298</v>
      </c>
      <c r="M35" s="65">
        <v>1223</v>
      </c>
      <c r="N35" s="65">
        <v>1233</v>
      </c>
      <c r="O35" s="65">
        <v>1278</v>
      </c>
      <c r="P35" s="4"/>
      <c r="Q35" s="4"/>
      <c r="R35" s="4"/>
      <c r="S35" s="4"/>
      <c r="T35" s="4"/>
      <c r="U35" s="4"/>
    </row>
    <row r="36" spans="1:21" s="60" customFormat="1" x14ac:dyDescent="0.2">
      <c r="A36" s="4"/>
      <c r="B36" s="2" t="s">
        <v>253</v>
      </c>
      <c r="C36" s="2" t="s">
        <v>259</v>
      </c>
      <c r="D36" s="95" t="s">
        <v>255</v>
      </c>
      <c r="E36" s="65">
        <v>1918</v>
      </c>
      <c r="F36" s="65">
        <v>2525</v>
      </c>
      <c r="G36" s="65">
        <v>2696</v>
      </c>
      <c r="H36" s="65">
        <v>2483</v>
      </c>
      <c r="I36" s="65">
        <v>1646</v>
      </c>
      <c r="J36" s="65">
        <v>1427</v>
      </c>
      <c r="K36" s="65">
        <v>1608</v>
      </c>
      <c r="L36" s="65">
        <v>1824</v>
      </c>
      <c r="M36" s="65">
        <v>1906</v>
      </c>
      <c r="N36" s="65">
        <v>2112</v>
      </c>
      <c r="O36" s="65">
        <v>2354</v>
      </c>
      <c r="P36" s="4"/>
      <c r="Q36" s="4"/>
      <c r="R36" s="4"/>
      <c r="S36" s="4"/>
      <c r="T36" s="4"/>
      <c r="U36" s="4"/>
    </row>
    <row r="37" spans="1:21" s="60" customFormat="1" x14ac:dyDescent="0.2">
      <c r="A37" s="4"/>
      <c r="B37" s="2" t="s">
        <v>253</v>
      </c>
      <c r="C37" s="2" t="s">
        <v>260</v>
      </c>
      <c r="D37" s="95" t="s">
        <v>255</v>
      </c>
      <c r="E37" s="65">
        <v>1022</v>
      </c>
      <c r="F37" s="65">
        <v>793</v>
      </c>
      <c r="G37" s="65">
        <v>447</v>
      </c>
      <c r="H37" s="65">
        <v>452</v>
      </c>
      <c r="I37" s="65">
        <v>484</v>
      </c>
      <c r="J37" s="65">
        <v>512</v>
      </c>
      <c r="K37" s="65">
        <v>515</v>
      </c>
      <c r="L37" s="65">
        <v>592</v>
      </c>
      <c r="M37" s="65">
        <v>606</v>
      </c>
      <c r="N37" s="65">
        <v>623</v>
      </c>
      <c r="O37" s="65">
        <v>626</v>
      </c>
      <c r="P37" s="4"/>
      <c r="Q37" s="4"/>
      <c r="R37" s="4"/>
      <c r="S37" s="4"/>
      <c r="T37" s="4"/>
      <c r="U37" s="4"/>
    </row>
    <row r="38" spans="1:21" s="60" customFormat="1" x14ac:dyDescent="0.2">
      <c r="A38" s="4"/>
      <c r="B38" s="2" t="s">
        <v>253</v>
      </c>
      <c r="C38" s="2" t="s">
        <v>261</v>
      </c>
      <c r="D38" s="95" t="s">
        <v>255</v>
      </c>
      <c r="E38" s="65">
        <v>1060</v>
      </c>
      <c r="F38" s="65">
        <v>1211</v>
      </c>
      <c r="G38" s="65">
        <v>1605</v>
      </c>
      <c r="H38" s="65">
        <v>1476</v>
      </c>
      <c r="I38" s="65">
        <v>1516</v>
      </c>
      <c r="J38" s="65">
        <v>1623</v>
      </c>
      <c r="K38" s="65">
        <v>1592</v>
      </c>
      <c r="L38" s="65">
        <v>1502</v>
      </c>
      <c r="M38" s="65">
        <v>1578</v>
      </c>
      <c r="N38" s="65">
        <v>1653</v>
      </c>
      <c r="O38" s="65">
        <v>1711</v>
      </c>
      <c r="P38" s="4"/>
      <c r="Q38" s="4"/>
      <c r="R38" s="4"/>
      <c r="S38" s="4"/>
      <c r="T38" s="4"/>
      <c r="U38" s="4"/>
    </row>
    <row r="39" spans="1:21" s="60" customForma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143"/>
      <c r="P39" s="4"/>
      <c r="Q39" s="4"/>
      <c r="R39" s="4"/>
      <c r="S39" s="4"/>
      <c r="T39" s="4"/>
      <c r="U39" s="4"/>
    </row>
    <row r="40" spans="1:21" s="60" customFormat="1" x14ac:dyDescent="0.2">
      <c r="A40" s="4"/>
      <c r="B40" s="4"/>
      <c r="C40" s="4"/>
      <c r="D40" s="4"/>
      <c r="E40" s="4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4"/>
      <c r="Q40" s="4"/>
      <c r="R40" s="4"/>
      <c r="S40" s="4"/>
      <c r="T40" s="4"/>
      <c r="U40" s="4"/>
    </row>
    <row r="41" spans="1:21" x14ac:dyDescent="0.2">
      <c r="A41" s="4"/>
      <c r="B41" s="34" t="s">
        <v>233</v>
      </c>
      <c r="C41" s="4"/>
      <c r="D41" s="4"/>
      <c r="E41" s="4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4"/>
      <c r="Q41" s="4"/>
      <c r="R41" s="4"/>
      <c r="S41" s="4"/>
      <c r="T41" s="4"/>
      <c r="U41" s="4"/>
    </row>
    <row r="42" spans="1:21" x14ac:dyDescent="0.2">
      <c r="A42" s="4"/>
      <c r="B42" s="48"/>
      <c r="C42" s="4"/>
      <c r="D42" s="4"/>
      <c r="E42" s="4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4"/>
      <c r="Q42" s="4"/>
      <c r="R42" s="4"/>
      <c r="S42" s="4"/>
      <c r="T42" s="4"/>
      <c r="U42" s="4"/>
    </row>
    <row r="43" spans="1:21" ht="12.75" customHeight="1" x14ac:dyDescent="0.2">
      <c r="A43" s="4"/>
      <c r="B43" s="4"/>
      <c r="C43" s="291" t="s">
        <v>173</v>
      </c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4"/>
      <c r="Q43" s="4"/>
      <c r="R43" s="4"/>
      <c r="S43" s="4"/>
      <c r="T43" s="4"/>
      <c r="U43" s="4"/>
    </row>
    <row r="44" spans="1:21" x14ac:dyDescent="0.2">
      <c r="A44" s="4"/>
      <c r="B44" s="3" t="s">
        <v>35</v>
      </c>
      <c r="C44" s="292" t="s">
        <v>273</v>
      </c>
      <c r="D44" s="293"/>
      <c r="E44" s="3"/>
      <c r="F44" s="3" t="s">
        <v>263</v>
      </c>
      <c r="G44" s="51" t="s">
        <v>264</v>
      </c>
      <c r="H44" s="54" t="s">
        <v>265</v>
      </c>
      <c r="I44" s="54" t="s">
        <v>266</v>
      </c>
      <c r="J44" s="54" t="s">
        <v>267</v>
      </c>
      <c r="K44" s="54" t="s">
        <v>268</v>
      </c>
      <c r="L44" s="54" t="s">
        <v>269</v>
      </c>
      <c r="M44" s="54" t="s">
        <v>270</v>
      </c>
      <c r="N44" s="54" t="s">
        <v>271</v>
      </c>
      <c r="O44" s="163" t="s">
        <v>311</v>
      </c>
      <c r="P44" s="4"/>
      <c r="Q44" s="4"/>
      <c r="R44" s="4"/>
      <c r="S44" s="4"/>
      <c r="T44" s="4"/>
      <c r="U44" s="4"/>
    </row>
    <row r="45" spans="1:21" x14ac:dyDescent="0.2">
      <c r="A45" s="4"/>
      <c r="B45" s="68">
        <v>102</v>
      </c>
      <c r="C45" s="105" t="str">
        <f>CONCATENATE(B8," - ",C8," - ",D8)</f>
        <v>Residential - New Houses - Melbourne</v>
      </c>
      <c r="D45" s="106"/>
      <c r="E45" s="110"/>
      <c r="F45" s="53">
        <f t="shared" ref="F45:O45" si="0">F8/E8</f>
        <v>1.0633831247476786</v>
      </c>
      <c r="G45" s="53">
        <f t="shared" si="0"/>
        <v>1.0464439382434827</v>
      </c>
      <c r="H45" s="53">
        <f t="shared" si="0"/>
        <v>1.0147539001088401</v>
      </c>
      <c r="I45" s="53">
        <f t="shared" si="0"/>
        <v>0.93838636634489336</v>
      </c>
      <c r="J45" s="214">
        <f t="shared" si="0"/>
        <v>0.9629159258318517</v>
      </c>
      <c r="K45" s="53">
        <f t="shared" si="0"/>
        <v>1.0220258506990241</v>
      </c>
      <c r="L45" s="53">
        <f t="shared" si="0"/>
        <v>1.028003613369467</v>
      </c>
      <c r="M45" s="53">
        <f t="shared" si="0"/>
        <v>1.0168214913381872</v>
      </c>
      <c r="N45" s="53">
        <f t="shared" si="0"/>
        <v>1.0054320987654322</v>
      </c>
      <c r="O45" s="53">
        <f t="shared" si="0"/>
        <v>1.006016699410609</v>
      </c>
      <c r="P45" s="4"/>
      <c r="Q45" s="4"/>
      <c r="R45" s="4"/>
      <c r="S45" s="4"/>
      <c r="T45" s="4"/>
      <c r="U45" s="4"/>
    </row>
    <row r="46" spans="1:21" x14ac:dyDescent="0.2">
      <c r="A46" s="4"/>
      <c r="B46" s="68">
        <v>104</v>
      </c>
      <c r="C46" s="108"/>
      <c r="D46" s="109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4"/>
      <c r="Q46" s="4"/>
      <c r="R46" s="4"/>
      <c r="S46" s="4"/>
      <c r="T46" s="4"/>
      <c r="U46" s="4"/>
    </row>
    <row r="47" spans="1:21" x14ac:dyDescent="0.2">
      <c r="A47" s="4"/>
      <c r="B47" s="68">
        <v>105</v>
      </c>
      <c r="C47" s="105" t="str">
        <f>CONCATENATE(B13," - ",C13," - ",D13)</f>
        <v>Non-residential - Offices - Melbourne</v>
      </c>
      <c r="D47" s="106"/>
      <c r="E47" s="110"/>
      <c r="F47" s="53">
        <f t="shared" ref="F47:O47" si="1">F13/E13</f>
        <v>0.81387665198237891</v>
      </c>
      <c r="G47" s="53">
        <f t="shared" si="1"/>
        <v>1.5142083897158323</v>
      </c>
      <c r="H47" s="53">
        <f t="shared" si="1"/>
        <v>1.2350312779267203</v>
      </c>
      <c r="I47" s="53">
        <f t="shared" si="1"/>
        <v>0.96092619392185241</v>
      </c>
      <c r="J47" s="53">
        <f t="shared" si="1"/>
        <v>0.97364457831325302</v>
      </c>
      <c r="K47" s="53">
        <f t="shared" si="1"/>
        <v>0.95552977571539055</v>
      </c>
      <c r="L47" s="53">
        <f t="shared" si="1"/>
        <v>0.79522460542290574</v>
      </c>
      <c r="M47" s="53">
        <f t="shared" si="1"/>
        <v>1.0055979643765904</v>
      </c>
      <c r="N47" s="53">
        <f t="shared" si="1"/>
        <v>1.1113360323886641</v>
      </c>
      <c r="O47" s="53">
        <f t="shared" si="1"/>
        <v>1.0214025500910746</v>
      </c>
      <c r="P47" s="4"/>
      <c r="Q47" s="4"/>
      <c r="R47" s="4"/>
      <c r="S47" s="4"/>
      <c r="T47" s="4"/>
      <c r="U47" s="4"/>
    </row>
    <row r="48" spans="1:21" x14ac:dyDescent="0.2">
      <c r="A48" s="4"/>
      <c r="B48" s="68">
        <v>106</v>
      </c>
      <c r="C48" s="105" t="s">
        <v>299</v>
      </c>
      <c r="D48" s="106"/>
      <c r="E48" s="110"/>
      <c r="F48" s="53">
        <f t="shared" ref="F48:O48" si="2">SUM(F10,F12,F13,F14,F16)/SUM(E10,E12,E13,E14,E16)</f>
        <v>0.93102951763858888</v>
      </c>
      <c r="G48" s="53">
        <f t="shared" si="2"/>
        <v>1.1439839158676153</v>
      </c>
      <c r="H48" s="53">
        <f t="shared" si="2"/>
        <v>1.0287954576179532</v>
      </c>
      <c r="I48" s="53">
        <f t="shared" si="2"/>
        <v>0.94875164257555844</v>
      </c>
      <c r="J48" s="53">
        <f t="shared" si="2"/>
        <v>1.013573407202216</v>
      </c>
      <c r="K48" s="53">
        <f t="shared" si="2"/>
        <v>1.0159879748565182</v>
      </c>
      <c r="L48" s="53">
        <f t="shared" si="2"/>
        <v>0.94028244788164084</v>
      </c>
      <c r="M48" s="53">
        <f t="shared" si="2"/>
        <v>0.98083249892719215</v>
      </c>
      <c r="N48" s="53">
        <f t="shared" si="2"/>
        <v>1.033104856351174</v>
      </c>
      <c r="O48" s="53">
        <f t="shared" si="2"/>
        <v>1.0165160926030492</v>
      </c>
      <c r="P48" s="4"/>
      <c r="Q48" s="104"/>
      <c r="R48" s="4"/>
      <c r="S48" s="4"/>
      <c r="T48" s="4"/>
      <c r="U48" s="4"/>
    </row>
    <row r="49" spans="1:21" x14ac:dyDescent="0.2">
      <c r="A49" s="4"/>
      <c r="B49" s="68">
        <v>107</v>
      </c>
      <c r="C49" s="105" t="str">
        <f>CONCATENATE(B15," - ",C15," - ",D15)</f>
        <v>Non-residential - Industrial - Melbourne</v>
      </c>
      <c r="D49" s="106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4"/>
      <c r="Q49" s="4"/>
      <c r="R49" s="4"/>
      <c r="S49" s="4"/>
      <c r="T49" s="4"/>
      <c r="U49" s="4"/>
    </row>
    <row r="50" spans="1:21" x14ac:dyDescent="0.2">
      <c r="A50" s="4"/>
      <c r="B50" s="68">
        <v>108</v>
      </c>
      <c r="C50" s="108"/>
      <c r="D50" s="109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4"/>
      <c r="Q50" s="4"/>
      <c r="R50" s="4"/>
      <c r="S50" s="4"/>
      <c r="T50" s="4"/>
      <c r="U50" s="4"/>
    </row>
    <row r="51" spans="1:21" x14ac:dyDescent="0.2">
      <c r="A51" s="4"/>
      <c r="B51" s="68">
        <v>109</v>
      </c>
      <c r="C51" s="105" t="str">
        <f>CONCATENATE(B8," - ",C8," - ",D8)</f>
        <v>Residential - New Houses - Melbourne</v>
      </c>
      <c r="D51" s="106"/>
      <c r="E51" s="110"/>
      <c r="F51" s="53">
        <f t="shared" ref="F51:O51" si="3">F8/E8</f>
        <v>1.0633831247476786</v>
      </c>
      <c r="G51" s="53">
        <f t="shared" si="3"/>
        <v>1.0464439382434827</v>
      </c>
      <c r="H51" s="53">
        <f t="shared" si="3"/>
        <v>1.0147539001088401</v>
      </c>
      <c r="I51" s="53">
        <f t="shared" si="3"/>
        <v>0.93838636634489336</v>
      </c>
      <c r="J51" s="53">
        <f t="shared" si="3"/>
        <v>0.9629159258318517</v>
      </c>
      <c r="K51" s="53">
        <f t="shared" si="3"/>
        <v>1.0220258506990241</v>
      </c>
      <c r="L51" s="53">
        <f t="shared" si="3"/>
        <v>1.028003613369467</v>
      </c>
      <c r="M51" s="53">
        <f t="shared" si="3"/>
        <v>1.0168214913381872</v>
      </c>
      <c r="N51" s="53">
        <f t="shared" si="3"/>
        <v>1.0054320987654322</v>
      </c>
      <c r="O51" s="53">
        <f t="shared" si="3"/>
        <v>1.006016699410609</v>
      </c>
      <c r="P51" s="4"/>
      <c r="Q51" s="4"/>
      <c r="R51" s="4"/>
      <c r="S51" s="4"/>
      <c r="T51" s="4"/>
      <c r="U51" s="4"/>
    </row>
    <row r="52" spans="1:21" x14ac:dyDescent="0.2">
      <c r="A52" s="4"/>
      <c r="B52" s="68">
        <v>110</v>
      </c>
      <c r="C52" s="108"/>
      <c r="D52" s="109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4"/>
      <c r="Q52" s="4"/>
      <c r="R52" s="4"/>
      <c r="S52" s="4"/>
      <c r="T52" s="4"/>
      <c r="U52" s="4"/>
    </row>
    <row r="53" spans="1:21" x14ac:dyDescent="0.2">
      <c r="A53" s="4"/>
      <c r="B53" s="68">
        <v>111</v>
      </c>
      <c r="C53" s="105" t="s">
        <v>296</v>
      </c>
      <c r="D53" s="106"/>
      <c r="E53" s="110"/>
      <c r="F53" s="53">
        <f t="shared" ref="F53:O53" si="4">SUM(F9,F13,F14,F16,F19)/SUM(E9,E13,E14,E16,E19)</f>
        <v>0.99310051107325381</v>
      </c>
      <c r="G53" s="53">
        <f t="shared" si="4"/>
        <v>1.143837378848958</v>
      </c>
      <c r="H53" s="53">
        <f t="shared" si="4"/>
        <v>1.0444661067786443</v>
      </c>
      <c r="I53" s="53">
        <f t="shared" si="4"/>
        <v>0.88836240936176325</v>
      </c>
      <c r="J53" s="53">
        <f t="shared" si="4"/>
        <v>0.9224179731695491</v>
      </c>
      <c r="K53" s="53">
        <f t="shared" si="4"/>
        <v>0.94349045032416334</v>
      </c>
      <c r="L53" s="53">
        <f t="shared" si="4"/>
        <v>0.9632277834525026</v>
      </c>
      <c r="M53" s="53">
        <f t="shared" si="4"/>
        <v>1.088498987756676</v>
      </c>
      <c r="N53" s="53">
        <f t="shared" si="4"/>
        <v>1.0493313258347357</v>
      </c>
      <c r="O53" s="53">
        <f t="shared" si="4"/>
        <v>1.0094530722484807</v>
      </c>
      <c r="P53" s="4"/>
      <c r="Q53" s="4"/>
      <c r="R53" s="4"/>
      <c r="S53" s="4"/>
      <c r="T53" s="4"/>
      <c r="U53" s="4"/>
    </row>
    <row r="54" spans="1:21" x14ac:dyDescent="0.2">
      <c r="A54" s="4"/>
      <c r="B54" s="107">
        <v>114</v>
      </c>
      <c r="C54" s="108"/>
      <c r="D54" s="109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4"/>
      <c r="Q54" s="4"/>
      <c r="R54" s="4"/>
      <c r="S54" s="4"/>
      <c r="T54" s="4"/>
      <c r="U54" s="4"/>
    </row>
    <row r="55" spans="1:21" x14ac:dyDescent="0.2">
      <c r="A55" s="4"/>
      <c r="B55" s="107">
        <v>115</v>
      </c>
      <c r="C55" s="108"/>
      <c r="D55" s="109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4"/>
      <c r="Q55" s="4"/>
      <c r="R55" s="4"/>
      <c r="S55" s="4"/>
      <c r="T55" s="4"/>
      <c r="U55" s="4"/>
    </row>
    <row r="56" spans="1:21" x14ac:dyDescent="0.2">
      <c r="A56" s="4"/>
      <c r="B56" s="68">
        <v>116</v>
      </c>
      <c r="C56" s="105" t="s">
        <v>298</v>
      </c>
      <c r="D56" s="106"/>
      <c r="E56" s="110"/>
      <c r="F56" s="53">
        <f t="shared" ref="F56:O56" si="5">SUM(F14,F10,F19)/SUM(E14,E10,E19)</f>
        <v>1.0260269677014737</v>
      </c>
      <c r="G56" s="53">
        <f t="shared" si="5"/>
        <v>0.98227383863080686</v>
      </c>
      <c r="H56" s="53">
        <f t="shared" si="5"/>
        <v>1.050093341630367</v>
      </c>
      <c r="I56" s="53">
        <f t="shared" si="5"/>
        <v>0.90103703703703708</v>
      </c>
      <c r="J56" s="53">
        <f t="shared" si="5"/>
        <v>1.0493258796448537</v>
      </c>
      <c r="K56" s="53">
        <f t="shared" si="5"/>
        <v>1.0112817298652461</v>
      </c>
      <c r="L56" s="53">
        <f t="shared" si="5"/>
        <v>1.0235512860241711</v>
      </c>
      <c r="M56" s="53">
        <f t="shared" si="5"/>
        <v>1.0066606115652437</v>
      </c>
      <c r="N56" s="53">
        <f t="shared" si="5"/>
        <v>1.0069172932330828</v>
      </c>
      <c r="O56" s="53">
        <f t="shared" si="5"/>
        <v>1.0029868578255674</v>
      </c>
      <c r="P56" s="104"/>
      <c r="Q56" s="4"/>
      <c r="R56" s="4"/>
      <c r="S56" s="4"/>
      <c r="T56" s="4"/>
      <c r="U56" s="4"/>
    </row>
    <row r="57" spans="1:21" x14ac:dyDescent="0.2">
      <c r="A57" s="4"/>
      <c r="B57" s="68">
        <v>118</v>
      </c>
      <c r="C57" s="108"/>
      <c r="D57" s="109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4"/>
      <c r="Q57" s="4"/>
      <c r="R57" s="4"/>
      <c r="S57" s="4"/>
      <c r="T57" s="4"/>
      <c r="U57" s="4"/>
    </row>
    <row r="58" spans="1:2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143"/>
      <c r="P58" s="4"/>
      <c r="Q58" s="4"/>
      <c r="R58" s="4"/>
      <c r="S58" s="4"/>
      <c r="T58" s="4"/>
      <c r="U58" s="4"/>
    </row>
    <row r="59" spans="1:21" x14ac:dyDescent="0.2">
      <c r="A59" s="4"/>
      <c r="B59" s="145" t="s">
        <v>281</v>
      </c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4"/>
      <c r="Q59" s="4"/>
      <c r="R59" s="4"/>
      <c r="S59" s="4"/>
      <c r="T59" s="4"/>
      <c r="U59" s="4"/>
    </row>
    <row r="60" spans="1:21" x14ac:dyDescent="0.2">
      <c r="A60" s="4"/>
      <c r="B60" s="284" t="s">
        <v>284</v>
      </c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4"/>
      <c r="Q60" s="4"/>
      <c r="R60" s="4"/>
      <c r="S60" s="4"/>
      <c r="T60" s="4"/>
      <c r="U60" s="4"/>
    </row>
    <row r="61" spans="1:21" x14ac:dyDescent="0.2">
      <c r="A61" s="4"/>
      <c r="B61" s="4"/>
      <c r="C61" s="4"/>
      <c r="D61" s="4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43"/>
      <c r="P61" s="4"/>
      <c r="Q61" s="4"/>
      <c r="R61" s="4"/>
      <c r="S61" s="4"/>
      <c r="T61" s="4"/>
      <c r="U61" s="4"/>
    </row>
    <row r="62" spans="1:21" x14ac:dyDescent="0.2">
      <c r="A62" s="4"/>
      <c r="B62" s="4"/>
      <c r="C62" s="4"/>
      <c r="D62" s="4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4"/>
      <c r="Q62" s="4"/>
      <c r="R62" s="4"/>
      <c r="S62" s="4"/>
      <c r="T62" s="4"/>
      <c r="U62" s="4"/>
    </row>
    <row r="63" spans="1:21" x14ac:dyDescent="0.2">
      <c r="A63" s="4"/>
      <c r="B63" s="4"/>
      <c r="C63" s="4"/>
      <c r="D63" s="4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4"/>
      <c r="Q63" s="4"/>
      <c r="R63" s="4"/>
      <c r="S63" s="4"/>
      <c r="T63" s="4"/>
      <c r="U63" s="4"/>
    </row>
    <row r="64" spans="1:21" ht="15.75" x14ac:dyDescent="0.25">
      <c r="A64" s="28"/>
      <c r="B64" s="28" t="s">
        <v>307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</row>
    <row r="65" spans="1:21" x14ac:dyDescent="0.2">
      <c r="A65" s="4"/>
      <c r="B65" s="4"/>
      <c r="C65" s="4"/>
      <c r="D65" s="4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4"/>
      <c r="Q65" s="4"/>
      <c r="R65" s="4"/>
      <c r="S65" s="4"/>
      <c r="T65" s="4"/>
      <c r="U65" s="4"/>
    </row>
    <row r="66" spans="1:21" hidden="1" x14ac:dyDescent="0.2">
      <c r="A66" s="4"/>
      <c r="B66" s="4"/>
      <c r="C66" s="4"/>
      <c r="D66" s="4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4"/>
      <c r="Q66" s="4"/>
      <c r="R66" s="4"/>
      <c r="S66" s="4"/>
      <c r="T66" s="4"/>
      <c r="U66" s="4"/>
    </row>
    <row r="67" spans="1:21" hidden="1" x14ac:dyDescent="0.2">
      <c r="A67" s="4"/>
      <c r="B67" s="4"/>
      <c r="C67" s="4"/>
      <c r="D67" s="4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4"/>
      <c r="Q67" s="4"/>
      <c r="R67" s="4"/>
      <c r="S67" s="4"/>
      <c r="T67" s="4"/>
      <c r="U67" s="4"/>
    </row>
    <row r="68" spans="1:21" hidden="1" x14ac:dyDescent="0.2">
      <c r="A68" s="4"/>
      <c r="B68" s="4"/>
      <c r="C68" s="4"/>
      <c r="D68" s="4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4"/>
      <c r="Q68" s="4"/>
      <c r="R68" s="4"/>
      <c r="S68" s="4"/>
      <c r="T68" s="4"/>
      <c r="U68" s="4"/>
    </row>
    <row r="69" spans="1:21" hidden="1" x14ac:dyDescent="0.2">
      <c r="A69" s="4"/>
      <c r="B69" s="4"/>
      <c r="C69" s="4"/>
      <c r="D69" s="4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4"/>
      <c r="Q69" s="4"/>
      <c r="R69" s="4"/>
      <c r="S69" s="4"/>
      <c r="T69" s="4"/>
      <c r="U69" s="4"/>
    </row>
    <row r="70" spans="1:21" hidden="1" x14ac:dyDescent="0.2">
      <c r="A70" s="4"/>
      <c r="B70" s="4"/>
      <c r="C70" s="4"/>
      <c r="D70" s="4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4"/>
      <c r="Q70" s="4"/>
      <c r="R70" s="4"/>
      <c r="S70" s="4"/>
      <c r="T70" s="4"/>
      <c r="U70" s="4"/>
    </row>
    <row r="71" spans="1:21" hidden="1" x14ac:dyDescent="0.2">
      <c r="A71" s="4"/>
      <c r="B71" s="4"/>
      <c r="C71" s="4"/>
      <c r="D71" s="4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4"/>
      <c r="Q71" s="4"/>
      <c r="R71" s="4"/>
      <c r="S71" s="4"/>
      <c r="T71" s="4"/>
      <c r="U71" s="4"/>
    </row>
    <row r="72" spans="1:21" hidden="1" x14ac:dyDescent="0.2">
      <c r="A72" s="4"/>
      <c r="B72" s="4"/>
      <c r="C72" s="4"/>
      <c r="D72" s="4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4"/>
      <c r="Q72" s="4"/>
      <c r="R72" s="4"/>
      <c r="S72" s="4"/>
      <c r="T72" s="4"/>
      <c r="U72" s="4"/>
    </row>
    <row r="73" spans="1:21" hidden="1" x14ac:dyDescent="0.2"/>
    <row r="74" spans="1:21" hidden="1" x14ac:dyDescent="0.2"/>
    <row r="75" spans="1:21" hidden="1" x14ac:dyDescent="0.2"/>
    <row r="76" spans="1:21" hidden="1" x14ac:dyDescent="0.2"/>
    <row r="77" spans="1:21" hidden="1" x14ac:dyDescent="0.2"/>
    <row r="78" spans="1:21" hidden="1" x14ac:dyDescent="0.2"/>
    <row r="79" spans="1:21" hidden="1" x14ac:dyDescent="0.2"/>
    <row r="80" spans="1:21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</sheetData>
  <mergeCells count="3">
    <mergeCell ref="C44:D44"/>
    <mergeCell ref="C43:O43"/>
    <mergeCell ref="B60:O60"/>
  </mergeCells>
  <hyperlinks>
    <hyperlink ref="O1" location="Menu!A1" display="Menu" xr:uid="{00000000-0004-0000-0500-000000000000}"/>
  </hyperlinks>
  <pageMargins left="0.7" right="0.7" top="0.75" bottom="0.75" header="0.3" footer="0.3"/>
  <pageSetup paperSize="9" orientation="portrait" r:id="rId1"/>
  <ignoredErrors>
    <ignoredError sqref="D48:E4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theme="8" tint="0.59999389629810485"/>
  </sheetPr>
  <dimension ref="A1:AO65"/>
  <sheetViews>
    <sheetView workbookViewId="0"/>
  </sheetViews>
  <sheetFormatPr defaultColWidth="0" defaultRowHeight="12.75" zeroHeight="1" x14ac:dyDescent="0.2"/>
  <cols>
    <col min="1" max="1" width="3.7109375" customWidth="1"/>
    <col min="2" max="2" width="9.140625" customWidth="1"/>
    <col min="3" max="3" width="11.28515625" bestFit="1" customWidth="1"/>
    <col min="4" max="10" width="12.28515625" customWidth="1"/>
    <col min="11" max="11" width="12.28515625" style="162" hidden="1" customWidth="1"/>
    <col min="12" max="12" width="3.7109375" style="162" hidden="1" customWidth="1"/>
    <col min="13" max="13" width="9.140625" style="162" hidden="1" customWidth="1"/>
    <col min="14" max="14" width="40.7109375" style="162" hidden="1" customWidth="1"/>
    <col min="15" max="23" width="12.28515625" style="162" hidden="1" customWidth="1"/>
    <col min="24" max="24" width="3.7109375" hidden="1" customWidth="1"/>
    <col min="25" max="16384" width="9.140625" hidden="1"/>
  </cols>
  <sheetData>
    <row r="1" spans="1:41" ht="18" x14ac:dyDescent="0.25">
      <c r="A1" s="26" t="str">
        <f>Menu!A1</f>
        <v>CitiPower - Connections</v>
      </c>
      <c r="B1" s="26"/>
      <c r="C1" s="26"/>
      <c r="D1" s="26"/>
      <c r="E1" s="26"/>
      <c r="F1" s="26"/>
      <c r="G1" s="26"/>
      <c r="H1" s="26"/>
      <c r="I1" s="26"/>
      <c r="J1" s="30" t="s">
        <v>39</v>
      </c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</row>
    <row r="2" spans="1:41" ht="15.75" x14ac:dyDescent="0.25">
      <c r="A2" s="28" t="str">
        <f ca="1">RIGHT(CELL("filename", $A$1), LEN(CELL("filename", $A$1)) - SEARCH("]", CELL("filename", $A$1)))</f>
        <v>Major Projects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spans="1:4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x14ac:dyDescent="0.2">
      <c r="A4" s="4"/>
      <c r="B4" s="34" t="s">
        <v>343</v>
      </c>
      <c r="C4" s="4"/>
      <c r="D4" s="143"/>
      <c r="E4" s="1"/>
      <c r="F4" s="143"/>
      <c r="G4" s="4"/>
      <c r="H4" s="4"/>
      <c r="I4" s="4"/>
      <c r="J4" s="4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x14ac:dyDescent="0.2">
      <c r="A5" s="4"/>
      <c r="B5" s="50"/>
      <c r="C5" s="4"/>
      <c r="D5" s="4"/>
      <c r="E5" s="4"/>
      <c r="F5" s="4"/>
      <c r="G5" s="4"/>
      <c r="H5" s="4"/>
      <c r="I5" s="4"/>
      <c r="J5" s="4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x14ac:dyDescent="0.2">
      <c r="A6" s="4"/>
      <c r="B6" s="4"/>
      <c r="C6" s="294" t="s">
        <v>348</v>
      </c>
      <c r="D6" s="295"/>
      <c r="E6" s="295"/>
      <c r="F6" s="295"/>
      <c r="G6" s="295"/>
      <c r="H6" s="295"/>
      <c r="I6" s="295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5.5" x14ac:dyDescent="0.2">
      <c r="A7" s="4"/>
      <c r="B7" s="3" t="s">
        <v>35</v>
      </c>
      <c r="C7" s="163" t="s">
        <v>312</v>
      </c>
      <c r="D7" s="163" t="s">
        <v>313</v>
      </c>
      <c r="E7" s="163" t="s">
        <v>314</v>
      </c>
      <c r="F7" s="163" t="s">
        <v>315</v>
      </c>
      <c r="G7" s="163" t="s">
        <v>316</v>
      </c>
      <c r="H7" s="163" t="s">
        <v>317</v>
      </c>
      <c r="I7" s="163" t="s">
        <v>318</v>
      </c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1" x14ac:dyDescent="0.2">
      <c r="A8" s="4"/>
      <c r="B8" s="95">
        <v>107</v>
      </c>
      <c r="C8" s="222">
        <v>3532853.6358069307</v>
      </c>
      <c r="D8" s="222">
        <v>6414529.5622114204</v>
      </c>
      <c r="E8" s="222">
        <v>6668349.5671278406</v>
      </c>
      <c r="F8" s="222">
        <v>4974939.5667641601</v>
      </c>
      <c r="G8" s="222">
        <v>7135354.5418183748</v>
      </c>
      <c r="H8" s="222">
        <v>2814524.5917099449</v>
      </c>
      <c r="I8" s="222">
        <v>2814524.5917099449</v>
      </c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1" x14ac:dyDescent="0.2">
      <c r="A9" s="4"/>
      <c r="B9" s="95">
        <v>116</v>
      </c>
      <c r="C9" s="222">
        <v>15000000</v>
      </c>
      <c r="D9" s="222">
        <v>8800000</v>
      </c>
      <c r="E9" s="222">
        <v>13000000</v>
      </c>
      <c r="F9" s="222">
        <v>10000000</v>
      </c>
      <c r="G9" s="222">
        <v>0</v>
      </c>
      <c r="H9" s="222">
        <v>0</v>
      </c>
      <c r="I9" s="222">
        <v>0</v>
      </c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1" x14ac:dyDescent="0.2">
      <c r="A10" s="4"/>
      <c r="B10" s="95">
        <v>118</v>
      </c>
      <c r="C10" s="222">
        <v>28075.329183909776</v>
      </c>
      <c r="D10" s="222">
        <v>28075.329183909776</v>
      </c>
      <c r="E10" s="222">
        <v>28075.329183909776</v>
      </c>
      <c r="F10" s="222">
        <v>28075.329183909776</v>
      </c>
      <c r="G10" s="222">
        <v>28075.329183909776</v>
      </c>
      <c r="H10" s="222">
        <v>28075.329183909776</v>
      </c>
      <c r="I10" s="222">
        <v>28075.329183909776</v>
      </c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1" x14ac:dyDescent="0.2">
      <c r="A11" s="4"/>
      <c r="B11" s="21" t="s">
        <v>179</v>
      </c>
      <c r="C11" s="58">
        <f t="shared" ref="C11:I11" si="0">SUM(C8:C10)</f>
        <v>18560928.964990839</v>
      </c>
      <c r="D11" s="58">
        <f t="shared" si="0"/>
        <v>15242604.89139533</v>
      </c>
      <c r="E11" s="58">
        <f t="shared" si="0"/>
        <v>19696424.896311749</v>
      </c>
      <c r="F11" s="58">
        <f t="shared" si="0"/>
        <v>15003014.895948071</v>
      </c>
      <c r="G11" s="58">
        <f t="shared" si="0"/>
        <v>7163429.8710022848</v>
      </c>
      <c r="H11" s="58">
        <f t="shared" si="0"/>
        <v>2842599.9208938545</v>
      </c>
      <c r="I11" s="58">
        <f t="shared" si="0"/>
        <v>2842599.9208938545</v>
      </c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ht="15.75" x14ac:dyDescent="0.25">
      <c r="A13" s="28"/>
      <c r="B13" s="28" t="s">
        <v>307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ht="12.75" hidden="1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ht="12.75" hidden="1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15" ht="12.75" hidden="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143"/>
      <c r="L17" s="143"/>
      <c r="M17" s="143"/>
      <c r="N17" s="143"/>
      <c r="O17" s="143"/>
    </row>
    <row r="18" spans="1:15" hidden="1" x14ac:dyDescent="0.2"/>
    <row r="19" spans="1:15" hidden="1" x14ac:dyDescent="0.2"/>
    <row r="20" spans="1:15" hidden="1" x14ac:dyDescent="0.2"/>
    <row r="21" spans="1:15" hidden="1" x14ac:dyDescent="0.2"/>
    <row r="22" spans="1:15" hidden="1" x14ac:dyDescent="0.2"/>
    <row r="23" spans="1:15" hidden="1" x14ac:dyDescent="0.2"/>
    <row r="24" spans="1:15" hidden="1" x14ac:dyDescent="0.2"/>
    <row r="25" spans="1:15" hidden="1" x14ac:dyDescent="0.2"/>
    <row r="26" spans="1:15" hidden="1" x14ac:dyDescent="0.2"/>
    <row r="27" spans="1:15" hidden="1" x14ac:dyDescent="0.2"/>
    <row r="28" spans="1:15" hidden="1" x14ac:dyDescent="0.2"/>
    <row r="29" spans="1:15" hidden="1" x14ac:dyDescent="0.2"/>
    <row r="30" spans="1:15" hidden="1" x14ac:dyDescent="0.2"/>
    <row r="31" spans="1:15" hidden="1" x14ac:dyDescent="0.2"/>
    <row r="32" spans="1:15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</sheetData>
  <mergeCells count="1">
    <mergeCell ref="C6:I6"/>
  </mergeCells>
  <hyperlinks>
    <hyperlink ref="J1" location="Menu!A1" display="Menu" xr:uid="{00000000-0004-0000-06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rgb="FFFF0000"/>
  </sheetPr>
  <dimension ref="A1:AL80"/>
  <sheetViews>
    <sheetView zoomScale="80" zoomScaleNormal="80" workbookViewId="0"/>
  </sheetViews>
  <sheetFormatPr defaultColWidth="0" defaultRowHeight="12.75" zeroHeight="1" x14ac:dyDescent="0.2"/>
  <cols>
    <col min="1" max="1" width="3.7109375" customWidth="1"/>
    <col min="2" max="2" width="28.140625" customWidth="1"/>
    <col min="3" max="3" width="81.5703125" customWidth="1"/>
    <col min="4" max="17" width="8.140625" customWidth="1"/>
    <col min="18" max="18" width="8" customWidth="1"/>
    <col min="19" max="19" width="6.7109375" customWidth="1"/>
    <col min="20" max="20" width="3.7109375" customWidth="1"/>
    <col min="21" max="28" width="6.7109375" hidden="1" customWidth="1"/>
    <col min="29" max="16384" width="9.140625" hidden="1"/>
  </cols>
  <sheetData>
    <row r="1" spans="1:38" ht="18" x14ac:dyDescent="0.25">
      <c r="A1" s="26" t="str">
        <f>Menu!A1</f>
        <v>CitiPower - Connections</v>
      </c>
      <c r="B1" s="26"/>
      <c r="C1" s="26"/>
      <c r="D1" s="30" t="s">
        <v>39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</row>
    <row r="2" spans="1:38" ht="15.75" x14ac:dyDescent="0.25">
      <c r="A2" s="28" t="str">
        <f ca="1">RIGHT(CELL("filename", $A$1), LEN(CELL("filename", $A$1)) - SEARCH("]", CELL("filename", $A$1)))</f>
        <v>Function Code Mapping</v>
      </c>
      <c r="B2" s="28"/>
      <c r="C2" s="38" t="s">
        <v>82</v>
      </c>
      <c r="D2" s="40" t="str">
        <f>IF(SUM(S26:S38)&lt;&gt;0,"Check!","OK")</f>
        <v>OK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38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x14ac:dyDescent="0.2">
      <c r="A4" s="4"/>
      <c r="B4" s="34" t="s">
        <v>72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ht="12.75" customHeight="1" x14ac:dyDescent="0.2">
      <c r="A5" s="4"/>
      <c r="B5" s="3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ht="17.25" customHeight="1" x14ac:dyDescent="0.2">
      <c r="A6" s="4"/>
      <c r="B6" s="35" t="s">
        <v>32</v>
      </c>
      <c r="C6" s="35" t="s">
        <v>33</v>
      </c>
      <c r="D6" s="25" t="s">
        <v>81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x14ac:dyDescent="0.2">
      <c r="A7" s="4"/>
      <c r="B7" s="296" t="s">
        <v>44</v>
      </c>
      <c r="C7" s="69" t="s">
        <v>199</v>
      </c>
      <c r="D7" s="70" t="s">
        <v>46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x14ac:dyDescent="0.2">
      <c r="A8" s="4"/>
      <c r="B8" s="296"/>
      <c r="C8" s="69" t="s">
        <v>200</v>
      </c>
      <c r="D8" s="70" t="s">
        <v>48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x14ac:dyDescent="0.2">
      <c r="A9" s="4"/>
      <c r="B9" s="296"/>
      <c r="C9" s="69" t="s">
        <v>201</v>
      </c>
      <c r="D9" s="70" t="s">
        <v>50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x14ac:dyDescent="0.2">
      <c r="A10" s="4"/>
      <c r="B10" s="297" t="s">
        <v>34</v>
      </c>
      <c r="C10" s="41" t="s">
        <v>199</v>
      </c>
      <c r="D10" s="42" t="s">
        <v>51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x14ac:dyDescent="0.2">
      <c r="A11" s="4"/>
      <c r="B11" s="297"/>
      <c r="C11" s="41" t="s">
        <v>202</v>
      </c>
      <c r="D11" s="42" t="s">
        <v>53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x14ac:dyDescent="0.2">
      <c r="A12" s="4"/>
      <c r="B12" s="297"/>
      <c r="C12" s="41" t="s">
        <v>203</v>
      </c>
      <c r="D12" s="42" t="s">
        <v>55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x14ac:dyDescent="0.2">
      <c r="A13" s="4"/>
      <c r="B13" s="297"/>
      <c r="C13" s="41" t="s">
        <v>204</v>
      </c>
      <c r="D13" s="42" t="s">
        <v>57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x14ac:dyDescent="0.2">
      <c r="A14" s="4"/>
      <c r="B14" s="297"/>
      <c r="C14" s="41" t="s">
        <v>205</v>
      </c>
      <c r="D14" s="42" t="s">
        <v>59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x14ac:dyDescent="0.2">
      <c r="A15" s="4"/>
      <c r="B15" s="296" t="s">
        <v>60</v>
      </c>
      <c r="C15" s="69" t="s">
        <v>200</v>
      </c>
      <c r="D15" s="70" t="s">
        <v>61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x14ac:dyDescent="0.2">
      <c r="A16" s="4"/>
      <c r="B16" s="296"/>
      <c r="C16" s="69" t="s">
        <v>206</v>
      </c>
      <c r="D16" s="70" t="s">
        <v>63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x14ac:dyDescent="0.2">
      <c r="A17" s="4"/>
      <c r="B17" s="296"/>
      <c r="C17" s="69" t="s">
        <v>207</v>
      </c>
      <c r="D17" s="70" t="s">
        <v>65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x14ac:dyDescent="0.2">
      <c r="A18" s="4"/>
      <c r="B18" s="297" t="s">
        <v>66</v>
      </c>
      <c r="C18" s="41" t="s">
        <v>199</v>
      </c>
      <c r="D18" s="42" t="s">
        <v>67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x14ac:dyDescent="0.2">
      <c r="A19" s="4"/>
      <c r="B19" s="297"/>
      <c r="C19" s="41" t="s">
        <v>208</v>
      </c>
      <c r="D19" s="42" t="s">
        <v>69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x14ac:dyDescent="0.2">
      <c r="A20" s="4"/>
      <c r="B20" s="297"/>
      <c r="C20" s="41" t="s">
        <v>209</v>
      </c>
      <c r="D20" s="42" t="s">
        <v>71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50"/>
      <c r="AK21" s="4"/>
      <c r="AL21" s="4"/>
    </row>
    <row r="22" spans="1:38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50"/>
      <c r="AK22" s="4"/>
      <c r="AL22" s="4"/>
    </row>
    <row r="23" spans="1:38" x14ac:dyDescent="0.2">
      <c r="A23" s="4"/>
      <c r="B23" s="34" t="s">
        <v>73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ht="12.75" customHeight="1" x14ac:dyDescent="0.2">
      <c r="A24" s="4"/>
      <c r="B24" s="4"/>
      <c r="C24" s="4"/>
      <c r="D24" s="288" t="s">
        <v>216</v>
      </c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90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x14ac:dyDescent="0.2">
      <c r="A25" s="4"/>
      <c r="B25" s="3" t="s">
        <v>74</v>
      </c>
      <c r="C25" s="3" t="s">
        <v>75</v>
      </c>
      <c r="D25" s="3" t="s">
        <v>46</v>
      </c>
      <c r="E25" s="3" t="s">
        <v>48</v>
      </c>
      <c r="F25" s="3" t="s">
        <v>50</v>
      </c>
      <c r="G25" s="3" t="s">
        <v>51</v>
      </c>
      <c r="H25" s="3" t="s">
        <v>53</v>
      </c>
      <c r="I25" s="3" t="s">
        <v>55</v>
      </c>
      <c r="J25" s="3" t="s">
        <v>57</v>
      </c>
      <c r="K25" s="3" t="s">
        <v>59</v>
      </c>
      <c r="L25" s="3" t="s">
        <v>61</v>
      </c>
      <c r="M25" s="3" t="s">
        <v>63</v>
      </c>
      <c r="N25" s="3" t="s">
        <v>65</v>
      </c>
      <c r="O25" s="3" t="s">
        <v>67</v>
      </c>
      <c r="P25" s="3" t="s">
        <v>69</v>
      </c>
      <c r="Q25" s="3" t="s">
        <v>71</v>
      </c>
      <c r="R25" s="161" t="s">
        <v>231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x14ac:dyDescent="0.2">
      <c r="A26" s="4"/>
      <c r="B26" s="71">
        <v>102</v>
      </c>
      <c r="C26" s="2" t="s">
        <v>185</v>
      </c>
      <c r="D26" s="223">
        <v>0</v>
      </c>
      <c r="E26" s="67">
        <v>0.8</v>
      </c>
      <c r="F26" s="67"/>
      <c r="G26" s="223">
        <v>0.2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37">
        <f>SUM(D26:Q26)</f>
        <v>1</v>
      </c>
      <c r="S26" s="37">
        <f>IF(R26=0,0,1-R26)</f>
        <v>0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x14ac:dyDescent="0.2">
      <c r="A27" s="4"/>
      <c r="B27" s="71">
        <v>104</v>
      </c>
      <c r="C27" s="2" t="s">
        <v>186</v>
      </c>
      <c r="D27" s="224">
        <v>0</v>
      </c>
      <c r="E27" s="91">
        <v>0</v>
      </c>
      <c r="F27" s="91">
        <v>0</v>
      </c>
      <c r="G27" s="224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67">
        <v>1</v>
      </c>
      <c r="O27" s="91">
        <v>0</v>
      </c>
      <c r="P27" s="91">
        <v>0</v>
      </c>
      <c r="Q27" s="67">
        <v>0</v>
      </c>
      <c r="R27" s="37">
        <f t="shared" ref="R27:R38" si="0">SUM(D27:Q27)</f>
        <v>1</v>
      </c>
      <c r="S27" s="37">
        <f t="shared" ref="S27:S38" si="1">IF(R27=0,0,1-R27)</f>
        <v>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x14ac:dyDescent="0.2">
      <c r="A28" s="4"/>
      <c r="B28" s="71">
        <v>105</v>
      </c>
      <c r="C28" s="2" t="s">
        <v>187</v>
      </c>
      <c r="D28" s="224">
        <v>0</v>
      </c>
      <c r="E28" s="67">
        <v>0.75</v>
      </c>
      <c r="F28" s="67">
        <v>0.05</v>
      </c>
      <c r="G28" s="224">
        <v>0.15</v>
      </c>
      <c r="H28" s="91">
        <v>0</v>
      </c>
      <c r="I28" s="67">
        <v>0.05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67">
        <v>0</v>
      </c>
      <c r="R28" s="37">
        <f t="shared" si="0"/>
        <v>1</v>
      </c>
      <c r="S28" s="37">
        <f t="shared" si="1"/>
        <v>0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x14ac:dyDescent="0.2">
      <c r="A29" s="4"/>
      <c r="B29" s="71">
        <v>106</v>
      </c>
      <c r="C29" s="2" t="s">
        <v>188</v>
      </c>
      <c r="D29" s="224">
        <v>0</v>
      </c>
      <c r="E29" s="91">
        <v>0.2</v>
      </c>
      <c r="F29" s="91">
        <v>0.55000000000000004</v>
      </c>
      <c r="G29" s="224">
        <v>0.05</v>
      </c>
      <c r="H29" s="91">
        <v>0</v>
      </c>
      <c r="I29" s="67">
        <v>0.2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67">
        <v>0</v>
      </c>
      <c r="R29" s="37">
        <f t="shared" si="0"/>
        <v>1</v>
      </c>
      <c r="S29" s="37">
        <f t="shared" si="1"/>
        <v>0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x14ac:dyDescent="0.2">
      <c r="A30" s="4"/>
      <c r="B30" s="71">
        <v>107</v>
      </c>
      <c r="C30" s="2" t="s">
        <v>76</v>
      </c>
      <c r="D30" s="224">
        <v>0</v>
      </c>
      <c r="E30" s="91">
        <v>0</v>
      </c>
      <c r="F30" s="91">
        <v>0</v>
      </c>
      <c r="G30" s="224">
        <v>0</v>
      </c>
      <c r="H30" s="91">
        <v>0</v>
      </c>
      <c r="I30" s="91">
        <v>0</v>
      </c>
      <c r="J30" s="91">
        <v>1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67">
        <v>0</v>
      </c>
      <c r="R30" s="37">
        <f t="shared" si="0"/>
        <v>1</v>
      </c>
      <c r="S30" s="37">
        <f t="shared" si="1"/>
        <v>0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x14ac:dyDescent="0.2">
      <c r="A31" s="4"/>
      <c r="B31" s="71">
        <v>108</v>
      </c>
      <c r="C31" s="2" t="s">
        <v>189</v>
      </c>
      <c r="D31" s="224">
        <v>0</v>
      </c>
      <c r="E31" s="91">
        <v>0</v>
      </c>
      <c r="F31" s="91">
        <v>0</v>
      </c>
      <c r="G31" s="224">
        <v>0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  <c r="P31" s="91">
        <v>0</v>
      </c>
      <c r="Q31" s="67">
        <v>0</v>
      </c>
      <c r="R31" s="37">
        <f t="shared" si="0"/>
        <v>0</v>
      </c>
      <c r="S31" s="37">
        <f t="shared" si="1"/>
        <v>0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x14ac:dyDescent="0.2">
      <c r="A32" s="4"/>
      <c r="B32" s="71">
        <v>109</v>
      </c>
      <c r="C32" s="2" t="s">
        <v>190</v>
      </c>
      <c r="D32" s="224">
        <v>0</v>
      </c>
      <c r="E32" s="91">
        <v>1</v>
      </c>
      <c r="F32" s="91">
        <v>0</v>
      </c>
      <c r="G32" s="224">
        <v>0</v>
      </c>
      <c r="H32" s="91">
        <v>0</v>
      </c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  <c r="P32" s="91">
        <v>0</v>
      </c>
      <c r="Q32" s="67">
        <v>0</v>
      </c>
      <c r="R32" s="37">
        <f t="shared" si="0"/>
        <v>1</v>
      </c>
      <c r="S32" s="37">
        <f t="shared" si="1"/>
        <v>0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x14ac:dyDescent="0.2">
      <c r="A33" s="4"/>
      <c r="B33" s="71">
        <v>110</v>
      </c>
      <c r="C33" s="2" t="s">
        <v>77</v>
      </c>
      <c r="D33" s="224">
        <v>0</v>
      </c>
      <c r="E33" s="91">
        <v>0</v>
      </c>
      <c r="F33" s="91">
        <v>0</v>
      </c>
      <c r="G33" s="224">
        <v>0</v>
      </c>
      <c r="H33" s="91">
        <v>0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67">
        <v>0</v>
      </c>
      <c r="R33" s="37">
        <f t="shared" si="0"/>
        <v>0</v>
      </c>
      <c r="S33" s="37">
        <f t="shared" si="1"/>
        <v>0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x14ac:dyDescent="0.2">
      <c r="A34" s="4"/>
      <c r="B34" s="71">
        <v>111</v>
      </c>
      <c r="C34" s="2" t="s">
        <v>191</v>
      </c>
      <c r="D34" s="224">
        <v>0</v>
      </c>
      <c r="E34" s="91">
        <v>0</v>
      </c>
      <c r="F34" s="91">
        <v>0.7</v>
      </c>
      <c r="G34" s="224">
        <v>0</v>
      </c>
      <c r="H34" s="91">
        <v>0</v>
      </c>
      <c r="I34" s="91">
        <v>0.3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67">
        <v>0</v>
      </c>
      <c r="R34" s="37">
        <f t="shared" si="0"/>
        <v>1</v>
      </c>
      <c r="S34" s="37">
        <f t="shared" si="1"/>
        <v>0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x14ac:dyDescent="0.2">
      <c r="A35" s="4"/>
      <c r="B35" s="71">
        <v>114</v>
      </c>
      <c r="C35" s="2" t="s">
        <v>78</v>
      </c>
      <c r="D35" s="224">
        <v>0</v>
      </c>
      <c r="E35" s="91">
        <v>0</v>
      </c>
      <c r="F35" s="91">
        <v>0</v>
      </c>
      <c r="G35" s="224">
        <v>1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  <c r="P35" s="91">
        <v>0</v>
      </c>
      <c r="Q35" s="67">
        <v>0</v>
      </c>
      <c r="R35" s="37">
        <f t="shared" si="0"/>
        <v>1</v>
      </c>
      <c r="S35" s="37">
        <f t="shared" si="1"/>
        <v>0</v>
      </c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x14ac:dyDescent="0.2">
      <c r="A36" s="4"/>
      <c r="B36" s="71">
        <v>115</v>
      </c>
      <c r="C36" s="2" t="s">
        <v>79</v>
      </c>
      <c r="D36" s="224">
        <v>1</v>
      </c>
      <c r="E36" s="91">
        <v>0</v>
      </c>
      <c r="F36" s="91">
        <v>0</v>
      </c>
      <c r="G36" s="224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91">
        <v>0</v>
      </c>
      <c r="N36" s="91">
        <v>0</v>
      </c>
      <c r="O36" s="91">
        <v>0</v>
      </c>
      <c r="P36" s="91">
        <v>0</v>
      </c>
      <c r="Q36" s="67">
        <v>0</v>
      </c>
      <c r="R36" s="37">
        <f t="shared" si="0"/>
        <v>1</v>
      </c>
      <c r="S36" s="37">
        <f t="shared" si="1"/>
        <v>0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x14ac:dyDescent="0.2">
      <c r="A37" s="4"/>
      <c r="B37" s="71">
        <v>116</v>
      </c>
      <c r="C37" s="2" t="s">
        <v>97</v>
      </c>
      <c r="D37" s="224">
        <v>0</v>
      </c>
      <c r="E37" s="91">
        <v>0</v>
      </c>
      <c r="F37" s="91">
        <v>0</v>
      </c>
      <c r="G37" s="224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67">
        <v>0</v>
      </c>
      <c r="R37" s="37">
        <f t="shared" si="0"/>
        <v>0</v>
      </c>
      <c r="S37" s="37">
        <f t="shared" si="1"/>
        <v>0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x14ac:dyDescent="0.2">
      <c r="A38" s="4"/>
      <c r="B38" s="71">
        <v>118</v>
      </c>
      <c r="C38" s="2" t="s">
        <v>80</v>
      </c>
      <c r="D38" s="224">
        <v>0</v>
      </c>
      <c r="E38" s="91">
        <v>0</v>
      </c>
      <c r="F38" s="91">
        <v>0</v>
      </c>
      <c r="G38" s="224">
        <v>0</v>
      </c>
      <c r="H38" s="91">
        <v>0</v>
      </c>
      <c r="I38" s="91">
        <v>0</v>
      </c>
      <c r="J38" s="91">
        <v>0</v>
      </c>
      <c r="K38" s="91">
        <v>0</v>
      </c>
      <c r="L38" s="91">
        <v>0</v>
      </c>
      <c r="M38" s="91">
        <v>0</v>
      </c>
      <c r="N38" s="91">
        <v>0</v>
      </c>
      <c r="O38" s="91">
        <v>0</v>
      </c>
      <c r="P38" s="91">
        <v>1</v>
      </c>
      <c r="Q38" s="67">
        <v>0</v>
      </c>
      <c r="R38" s="37">
        <f t="shared" si="0"/>
        <v>1</v>
      </c>
      <c r="S38" s="37">
        <f t="shared" si="1"/>
        <v>0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ht="15.75" x14ac:dyDescent="0.25">
      <c r="A41" s="28"/>
      <c r="B41" s="28" t="s">
        <v>307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idden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hidden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hidden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hidden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hidden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hidden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hidden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hidden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hidden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hidden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hidden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hidden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hidden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hidden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hidden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hidden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hidden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hidden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hidden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hidden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hidden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38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</sheetData>
  <mergeCells count="5">
    <mergeCell ref="B7:B9"/>
    <mergeCell ref="B10:B14"/>
    <mergeCell ref="B15:B17"/>
    <mergeCell ref="B18:B20"/>
    <mergeCell ref="D24:Q24"/>
  </mergeCells>
  <conditionalFormatting sqref="D2">
    <cfRule type="expression" dxfId="4" priority="1">
      <formula>D2="Check!"</formula>
    </cfRule>
  </conditionalFormatting>
  <hyperlinks>
    <hyperlink ref="D1" location="Menu!A1" display="Menu" xr:uid="{00000000-0004-0000-07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0000"/>
  </sheetPr>
  <dimension ref="A1:BS166"/>
  <sheetViews>
    <sheetView workbookViewId="0"/>
  </sheetViews>
  <sheetFormatPr defaultColWidth="0" defaultRowHeight="12.75" zeroHeight="1" x14ac:dyDescent="0.2"/>
  <cols>
    <col min="1" max="1" width="3.7109375" customWidth="1"/>
    <col min="2" max="2" width="9.140625" customWidth="1"/>
    <col min="3" max="3" width="9.7109375" customWidth="1"/>
    <col min="4" max="4" width="11" bestFit="1" customWidth="1"/>
    <col min="5" max="12" width="9.7109375" customWidth="1"/>
    <col min="13" max="13" width="9.7109375" style="162" customWidth="1"/>
    <col min="14" max="14" width="3.7109375" customWidth="1"/>
    <col min="15" max="27" width="9.7109375" hidden="1" customWidth="1"/>
    <col min="28" max="28" width="9.7109375" style="162" hidden="1" customWidth="1"/>
    <col min="29" max="29" width="3.7109375" hidden="1" customWidth="1"/>
    <col min="30" max="30" width="8.28515625" hidden="1" customWidth="1"/>
    <col min="31" max="41" width="8.7109375" hidden="1" customWidth="1"/>
    <col min="42" max="42" width="9.140625" hidden="1" customWidth="1"/>
    <col min="43" max="43" width="9.140625" style="162" hidden="1" customWidth="1"/>
    <col min="44" max="57" width="9.140625" hidden="1" customWidth="1"/>
    <col min="58" max="58" width="9.140625" style="162" hidden="1" customWidth="1"/>
    <col min="59" max="59" width="3.7109375" hidden="1" customWidth="1"/>
    <col min="60" max="71" width="0" hidden="1" customWidth="1"/>
    <col min="72" max="16384" width="9.140625" hidden="1"/>
  </cols>
  <sheetData>
    <row r="1" spans="1:68" ht="18" x14ac:dyDescent="0.25">
      <c r="A1" s="26" t="str">
        <f>Menu!A1</f>
        <v>CitiPower - Connections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0" t="s">
        <v>39</v>
      </c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</row>
    <row r="2" spans="1:68" ht="15.75" x14ac:dyDescent="0.25">
      <c r="A2" s="28" t="str">
        <f ca="1">RIGHT(CELL("filename", $A$1), LEN(CELL("filename", $A$1)) - SEARCH("]", CELL("filename", $A$1)))</f>
        <v>Growth Rates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</row>
    <row r="3" spans="1:68" s="143" customFormat="1" ht="15.75" x14ac:dyDescent="0.25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</row>
    <row r="4" spans="1:68" x14ac:dyDescent="0.2">
      <c r="A4" s="4"/>
      <c r="B4" s="34" t="s">
        <v>176</v>
      </c>
      <c r="C4" s="4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4"/>
      <c r="O4" s="143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143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143"/>
      <c r="AR4" s="4"/>
      <c r="AS4" s="4"/>
      <c r="AT4" s="4"/>
      <c r="AU4" s="4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</row>
    <row r="5" spans="1:68" x14ac:dyDescent="0.2">
      <c r="A5" s="4"/>
      <c r="B5" s="141" t="s">
        <v>339</v>
      </c>
      <c r="C5" s="4"/>
      <c r="D5" s="4"/>
      <c r="E5" s="4"/>
      <c r="F5" s="4"/>
      <c r="G5" s="4"/>
      <c r="H5" s="4"/>
      <c r="I5" s="4"/>
      <c r="J5" s="4"/>
      <c r="K5" s="4"/>
      <c r="L5" s="4"/>
      <c r="M5" s="143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143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143"/>
      <c r="AR5" s="4"/>
      <c r="AS5" s="4"/>
      <c r="AT5" s="4"/>
      <c r="AU5" s="4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</row>
    <row r="6" spans="1:68" ht="12.75" customHeight="1" x14ac:dyDescent="0.2">
      <c r="A6" s="4"/>
      <c r="B6" s="4"/>
      <c r="D6" s="289" t="s">
        <v>173</v>
      </c>
      <c r="E6" s="289"/>
      <c r="F6" s="289"/>
      <c r="G6" s="289"/>
      <c r="H6" s="289"/>
      <c r="I6" s="289"/>
      <c r="J6" s="289"/>
      <c r="K6" s="289"/>
      <c r="L6" s="289"/>
      <c r="M6" s="29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143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143"/>
      <c r="AR6" s="4"/>
      <c r="AS6" s="4"/>
      <c r="AT6" s="4"/>
      <c r="AU6" s="4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</row>
    <row r="7" spans="1:68" ht="25.5" x14ac:dyDescent="0.2">
      <c r="A7" s="4"/>
      <c r="B7" s="163" t="s">
        <v>35</v>
      </c>
      <c r="C7" s="163" t="s">
        <v>217</v>
      </c>
      <c r="D7" s="3" t="s">
        <v>326</v>
      </c>
      <c r="E7" s="163" t="s">
        <v>327</v>
      </c>
      <c r="F7" s="163" t="s">
        <v>328</v>
      </c>
      <c r="G7" s="163" t="s">
        <v>312</v>
      </c>
      <c r="H7" s="163" t="s">
        <v>313</v>
      </c>
      <c r="I7" s="163" t="s">
        <v>314</v>
      </c>
      <c r="J7" s="163" t="s">
        <v>315</v>
      </c>
      <c r="K7" s="163" t="s">
        <v>316</v>
      </c>
      <c r="L7" s="163" t="s">
        <v>317</v>
      </c>
      <c r="M7" s="163" t="s">
        <v>318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143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143"/>
      <c r="AR7" s="4"/>
      <c r="AS7" s="4"/>
      <c r="AT7" s="4"/>
      <c r="AU7" s="4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</row>
    <row r="8" spans="1:68" x14ac:dyDescent="0.2">
      <c r="A8" s="4"/>
      <c r="B8" s="68">
        <f>IF('Historical Expenditure-Volumes'!B9=0," ",'Historical Expenditure-Volumes'!B9)</f>
        <v>102</v>
      </c>
      <c r="C8" s="164">
        <f>'Historical Expenditure-Volumes'!H29</f>
        <v>1</v>
      </c>
      <c r="D8" s="53">
        <f>IF('ACIF Growth Figures'!F45=0,0,'ACIF Growth Figures'!F45-1)</f>
        <v>6.3383124747678599E-2</v>
      </c>
      <c r="E8" s="53">
        <f>IF('ACIF Growth Figures'!G45=0,0,'ACIF Growth Figures'!G45-1)</f>
        <v>4.6443938243482696E-2</v>
      </c>
      <c r="F8" s="53">
        <f>IF('ACIF Growth Figures'!H45=0,0,'ACIF Growth Figures'!H45-1)</f>
        <v>1.4753900108840146E-2</v>
      </c>
      <c r="G8" s="53">
        <f>IF('ACIF Growth Figures'!I45=0,0,'ACIF Growth Figures'!I45-1)</f>
        <v>-6.1613633655106637E-2</v>
      </c>
      <c r="H8" s="214">
        <f>IF('ACIF Growth Figures'!J45=0,0,'ACIF Growth Figures'!J45-1)</f>
        <v>-3.7084074168148295E-2</v>
      </c>
      <c r="I8" s="53">
        <f>IF('ACIF Growth Figures'!K45=0,0,'ACIF Growth Figures'!K45-1)</f>
        <v>2.2025850699024074E-2</v>
      </c>
      <c r="J8" s="53">
        <f>IF('ACIF Growth Figures'!L45=0,0,'ACIF Growth Figures'!L45-1)</f>
        <v>2.8003613369466995E-2</v>
      </c>
      <c r="K8" s="53">
        <f>IF('ACIF Growth Figures'!M45=0,0,'ACIF Growth Figures'!M45-1)</f>
        <v>1.6821491338187222E-2</v>
      </c>
      <c r="L8" s="53">
        <f>IF('ACIF Growth Figures'!N45=0,0,'ACIF Growth Figures'!N45-1)</f>
        <v>5.4320987654321584E-3</v>
      </c>
      <c r="M8" s="53">
        <f>IF('ACIF Growth Figures'!O45=0,0,'ACIF Growth Figures'!O45-1)</f>
        <v>6.0166994106090055E-3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143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143"/>
      <c r="AR8" s="4"/>
      <c r="AS8" s="4"/>
      <c r="AT8" s="4"/>
      <c r="AU8" s="4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</row>
    <row r="9" spans="1:68" x14ac:dyDescent="0.2">
      <c r="A9" s="4"/>
      <c r="B9" s="68">
        <f>IF('Historical Expenditure-Volumes'!B10=0," ",'Historical Expenditure-Volumes'!B10)</f>
        <v>104</v>
      </c>
      <c r="C9" s="176">
        <f>'Historical Expenditure-Volumes'!H30</f>
        <v>1</v>
      </c>
      <c r="D9" s="53">
        <f>IF('ACIF Growth Figures'!F46=0,0,'ACIF Growth Figures'!F46-1)</f>
        <v>0</v>
      </c>
      <c r="E9" s="53">
        <f>IF('ACIF Growth Figures'!G46=0,0,'ACIF Growth Figures'!G46-1)</f>
        <v>0</v>
      </c>
      <c r="F9" s="53">
        <f>IF('ACIF Growth Figures'!H46=0,0,'ACIF Growth Figures'!H46-1)</f>
        <v>0</v>
      </c>
      <c r="G9" s="53">
        <f>IF('ACIF Growth Figures'!I46=0,0,'ACIF Growth Figures'!I46-1)</f>
        <v>0</v>
      </c>
      <c r="H9" s="214">
        <f>IF('ACIF Growth Figures'!J46=0,0,'ACIF Growth Figures'!J46-1)</f>
        <v>0</v>
      </c>
      <c r="I9" s="53">
        <f>IF('ACIF Growth Figures'!K46=0,0,'ACIF Growth Figures'!K46-1)</f>
        <v>0</v>
      </c>
      <c r="J9" s="53">
        <f>IF('ACIF Growth Figures'!L46=0,0,'ACIF Growth Figures'!L46-1)</f>
        <v>0</v>
      </c>
      <c r="K9" s="53">
        <f>IF('ACIF Growth Figures'!M46=0,0,'ACIF Growth Figures'!M46-1)</f>
        <v>0</v>
      </c>
      <c r="L9" s="53">
        <f>IF('ACIF Growth Figures'!N46=0,0,'ACIF Growth Figures'!N46-1)</f>
        <v>0</v>
      </c>
      <c r="M9" s="53">
        <f>IF('ACIF Growth Figures'!O46=0,0,'ACIF Growth Figures'!O46-1)</f>
        <v>0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143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43"/>
      <c r="AR9" s="4"/>
      <c r="AS9" s="4"/>
      <c r="AT9" s="4"/>
      <c r="AU9" s="4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</row>
    <row r="10" spans="1:68" x14ac:dyDescent="0.2">
      <c r="A10" s="4"/>
      <c r="B10" s="68">
        <f>IF('Historical Expenditure-Volumes'!B11=0," ",'Historical Expenditure-Volumes'!B11)</f>
        <v>105</v>
      </c>
      <c r="C10" s="176">
        <f>'Historical Expenditure-Volumes'!H31</f>
        <v>1</v>
      </c>
      <c r="D10" s="53">
        <f>IF('ACIF Growth Figures'!F47=0,0,'ACIF Growth Figures'!F47-1)</f>
        <v>-0.18612334801762109</v>
      </c>
      <c r="E10" s="53">
        <f>IF('ACIF Growth Figures'!G47=0,0,'ACIF Growth Figures'!G47-1)</f>
        <v>0.51420838971583227</v>
      </c>
      <c r="F10" s="53">
        <f>IF('ACIF Growth Figures'!H47=0,0,'ACIF Growth Figures'!H47-1)</f>
        <v>0.23503127792672029</v>
      </c>
      <c r="G10" s="53">
        <f>IF('ACIF Growth Figures'!I47=0,0,'ACIF Growth Figures'!I47-1)</f>
        <v>-3.9073806078147588E-2</v>
      </c>
      <c r="H10" s="214">
        <f>IF('ACIF Growth Figures'!J47=0,0,'ACIF Growth Figures'!J47-1)</f>
        <v>-2.6355421686746983E-2</v>
      </c>
      <c r="I10" s="53">
        <f>IF('ACIF Growth Figures'!K47=0,0,'ACIF Growth Figures'!K47-1)</f>
        <v>-4.447022428460945E-2</v>
      </c>
      <c r="J10" s="53">
        <f>IF('ACIF Growth Figures'!L47=0,0,'ACIF Growth Figures'!L47-1)</f>
        <v>-0.20477539457709426</v>
      </c>
      <c r="K10" s="53">
        <f>IF('ACIF Growth Figures'!M47=0,0,'ACIF Growth Figures'!M47-1)</f>
        <v>5.5979643765904363E-3</v>
      </c>
      <c r="L10" s="53">
        <f>IF('ACIF Growth Figures'!N47=0,0,'ACIF Growth Figures'!N47-1)</f>
        <v>0.11133603238866407</v>
      </c>
      <c r="M10" s="53">
        <f>IF('ACIF Growth Figures'!O47=0,0,'ACIF Growth Figures'!O47-1)</f>
        <v>2.1402550091074612E-2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143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43"/>
      <c r="AR10" s="4"/>
      <c r="AS10" s="4"/>
      <c r="AT10" s="4"/>
      <c r="AU10" s="4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</row>
    <row r="11" spans="1:68" x14ac:dyDescent="0.2">
      <c r="A11" s="4"/>
      <c r="B11" s="68">
        <f>IF('Historical Expenditure-Volumes'!B12=0," ",'Historical Expenditure-Volumes'!B12)</f>
        <v>106</v>
      </c>
      <c r="C11" s="176">
        <f>'Historical Expenditure-Volumes'!H32</f>
        <v>1</v>
      </c>
      <c r="D11" s="53">
        <f>IF('ACIF Growth Figures'!F48=0,0,'ACIF Growth Figures'!F48-1)</f>
        <v>-6.8970482361411123E-2</v>
      </c>
      <c r="E11" s="53">
        <f>IF('ACIF Growth Figures'!G48=0,0,'ACIF Growth Figures'!G48-1)</f>
        <v>0.14398391586761528</v>
      </c>
      <c r="F11" s="53">
        <f>IF('ACIF Growth Figures'!H48=0,0,'ACIF Growth Figures'!H48-1)</f>
        <v>2.8795457617953213E-2</v>
      </c>
      <c r="G11" s="53">
        <f>IF('ACIF Growth Figures'!I48=0,0,'ACIF Growth Figures'!I48-1)</f>
        <v>-5.124835742444156E-2</v>
      </c>
      <c r="H11" s="214">
        <f>IF('ACIF Growth Figures'!J48=0,0,'ACIF Growth Figures'!J48-1)</f>
        <v>1.3573407202216003E-2</v>
      </c>
      <c r="I11" s="53">
        <f>IF('ACIF Growth Figures'!K48=0,0,'ACIF Growth Figures'!K48-1)</f>
        <v>1.598797485651815E-2</v>
      </c>
      <c r="J11" s="53">
        <f>IF('ACIF Growth Figures'!L48=0,0,'ACIF Growth Figures'!L48-1)</f>
        <v>-5.9717552118359163E-2</v>
      </c>
      <c r="K11" s="53">
        <f>IF('ACIF Growth Figures'!M48=0,0,'ACIF Growth Figures'!M48-1)</f>
        <v>-1.9167501072807847E-2</v>
      </c>
      <c r="L11" s="53">
        <f>IF('ACIF Growth Figures'!N48=0,0,'ACIF Growth Figures'!N48-1)</f>
        <v>3.3104856351173995E-2</v>
      </c>
      <c r="M11" s="53">
        <f>IF('ACIF Growth Figures'!O48=0,0,'ACIF Growth Figures'!O48-1)</f>
        <v>1.6516092603049204E-2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143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143"/>
      <c r="AR11" s="4"/>
      <c r="AS11" s="4"/>
      <c r="AT11" s="4"/>
      <c r="AU11" s="4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</row>
    <row r="12" spans="1:68" x14ac:dyDescent="0.2">
      <c r="A12" s="4"/>
      <c r="B12" s="68">
        <f>IF('Historical Expenditure-Volumes'!B13=0," ",'Historical Expenditure-Volumes'!B13)</f>
        <v>107</v>
      </c>
      <c r="C12" s="176">
        <f>'Historical Expenditure-Volumes'!H33</f>
        <v>0</v>
      </c>
      <c r="D12" s="53">
        <f>IF('ACIF Growth Figures'!F49=0,0,'ACIF Growth Figures'!F49-1)</f>
        <v>0</v>
      </c>
      <c r="E12" s="53">
        <f>IF('ACIF Growth Figures'!G49=0,0,'ACIF Growth Figures'!G49-1)</f>
        <v>0</v>
      </c>
      <c r="F12" s="53">
        <f>IF('ACIF Growth Figures'!H49=0,0,'ACIF Growth Figures'!H49-1)</f>
        <v>0</v>
      </c>
      <c r="G12" s="53">
        <f>IF('ACIF Growth Figures'!I49=0,0,'ACIF Growth Figures'!I49-1)</f>
        <v>0</v>
      </c>
      <c r="H12" s="214">
        <f>IF('ACIF Growth Figures'!J49=0,0,'ACIF Growth Figures'!J49-1)</f>
        <v>0</v>
      </c>
      <c r="I12" s="53">
        <f>IF('ACIF Growth Figures'!K49=0,0,'ACIF Growth Figures'!K49-1)</f>
        <v>0</v>
      </c>
      <c r="J12" s="53">
        <f>IF('ACIF Growth Figures'!L49=0,0,'ACIF Growth Figures'!L49-1)</f>
        <v>0</v>
      </c>
      <c r="K12" s="53">
        <f>IF('ACIF Growth Figures'!M49=0,0,'ACIF Growth Figures'!M49-1)</f>
        <v>0</v>
      </c>
      <c r="L12" s="53">
        <f>IF('ACIF Growth Figures'!N49=0,0,'ACIF Growth Figures'!N49-1)</f>
        <v>0</v>
      </c>
      <c r="M12" s="53">
        <f>IF('ACIF Growth Figures'!O49=0,0,'ACIF Growth Figures'!O49-1)</f>
        <v>0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143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143"/>
      <c r="AR12" s="4"/>
      <c r="AS12" s="4"/>
      <c r="AT12" s="4"/>
      <c r="AU12" s="4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</row>
    <row r="13" spans="1:68" x14ac:dyDescent="0.2">
      <c r="A13" s="4"/>
      <c r="B13" s="68">
        <f>IF('Historical Expenditure-Volumes'!B14=0," ",'Historical Expenditure-Volumes'!B14)</f>
        <v>108</v>
      </c>
      <c r="C13" s="176">
        <f>'Historical Expenditure-Volumes'!H34</f>
        <v>1</v>
      </c>
      <c r="D13" s="53">
        <f>IF('ACIF Growth Figures'!F50=0,0,'ACIF Growth Figures'!F50-1)</f>
        <v>0</v>
      </c>
      <c r="E13" s="53">
        <f>IF('ACIF Growth Figures'!G50=0,0,'ACIF Growth Figures'!G50-1)</f>
        <v>0</v>
      </c>
      <c r="F13" s="53">
        <f>IF('ACIF Growth Figures'!H50=0,0,'ACIF Growth Figures'!H50-1)</f>
        <v>0</v>
      </c>
      <c r="G13" s="53">
        <f>IF('ACIF Growth Figures'!I50=0,0,'ACIF Growth Figures'!I50-1)</f>
        <v>0</v>
      </c>
      <c r="H13" s="214">
        <f>IF('ACIF Growth Figures'!J50=0,0,'ACIF Growth Figures'!J50-1)</f>
        <v>0</v>
      </c>
      <c r="I13" s="53">
        <f>IF('ACIF Growth Figures'!K50=0,0,'ACIF Growth Figures'!K50-1)</f>
        <v>0</v>
      </c>
      <c r="J13" s="53">
        <f>IF('ACIF Growth Figures'!L50=0,0,'ACIF Growth Figures'!L50-1)</f>
        <v>0</v>
      </c>
      <c r="K13" s="53">
        <f>IF('ACIF Growth Figures'!M50=0,0,'ACIF Growth Figures'!M50-1)</f>
        <v>0</v>
      </c>
      <c r="L13" s="53">
        <f>IF('ACIF Growth Figures'!N50=0,0,'ACIF Growth Figures'!N50-1)</f>
        <v>0</v>
      </c>
      <c r="M13" s="53">
        <f>IF('ACIF Growth Figures'!O50=0,0,'ACIF Growth Figures'!O50-1)</f>
        <v>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143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143"/>
      <c r="AR13" s="4"/>
      <c r="AS13" s="4"/>
      <c r="AT13" s="4"/>
      <c r="AU13" s="4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</row>
    <row r="14" spans="1:68" x14ac:dyDescent="0.2">
      <c r="A14" s="4"/>
      <c r="B14" s="68">
        <f>IF('Historical Expenditure-Volumes'!B15=0," ",'Historical Expenditure-Volumes'!B15)</f>
        <v>109</v>
      </c>
      <c r="C14" s="176">
        <f>'Historical Expenditure-Volumes'!H35</f>
        <v>1</v>
      </c>
      <c r="D14" s="53">
        <f>IF('ACIF Growth Figures'!F51=0,0,'ACIF Growth Figures'!F51-1)</f>
        <v>6.3383124747678599E-2</v>
      </c>
      <c r="E14" s="53">
        <f>IF('ACIF Growth Figures'!G51=0,0,'ACIF Growth Figures'!G51-1)</f>
        <v>4.6443938243482696E-2</v>
      </c>
      <c r="F14" s="53">
        <f>IF('ACIF Growth Figures'!H51=0,0,'ACIF Growth Figures'!H51-1)</f>
        <v>1.4753900108840146E-2</v>
      </c>
      <c r="G14" s="53">
        <f>IF('ACIF Growth Figures'!I51=0,0,'ACIF Growth Figures'!I51-1)</f>
        <v>-6.1613633655106637E-2</v>
      </c>
      <c r="H14" s="214">
        <f>IF('ACIF Growth Figures'!J51=0,0,'ACIF Growth Figures'!J51-1)</f>
        <v>-3.7084074168148295E-2</v>
      </c>
      <c r="I14" s="53">
        <f>IF('ACIF Growth Figures'!K51=0,0,'ACIF Growth Figures'!K51-1)</f>
        <v>2.2025850699024074E-2</v>
      </c>
      <c r="J14" s="53">
        <f>IF('ACIF Growth Figures'!L51=0,0,'ACIF Growth Figures'!L51-1)</f>
        <v>2.8003613369466995E-2</v>
      </c>
      <c r="K14" s="53">
        <f>IF('ACIF Growth Figures'!M51=0,0,'ACIF Growth Figures'!M51-1)</f>
        <v>1.6821491338187222E-2</v>
      </c>
      <c r="L14" s="53">
        <f>IF('ACIF Growth Figures'!N51=0,0,'ACIF Growth Figures'!N51-1)</f>
        <v>5.4320987654321584E-3</v>
      </c>
      <c r="M14" s="53">
        <f>IF('ACIF Growth Figures'!O51=0,0,'ACIF Growth Figures'!O51-1)</f>
        <v>6.0166994106090055E-3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143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143"/>
      <c r="AR14" s="4"/>
      <c r="AS14" s="4"/>
      <c r="AT14" s="4"/>
      <c r="AU14" s="4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</row>
    <row r="15" spans="1:68" x14ac:dyDescent="0.2">
      <c r="A15" s="4"/>
      <c r="B15" s="68">
        <f>IF('Historical Expenditure-Volumes'!B16=0," ",'Historical Expenditure-Volumes'!B16)</f>
        <v>110</v>
      </c>
      <c r="C15" s="176">
        <f>'Historical Expenditure-Volumes'!H36</f>
        <v>1</v>
      </c>
      <c r="D15" s="53">
        <f>IF('ACIF Growth Figures'!F52=0,0,'ACIF Growth Figures'!F52-1)</f>
        <v>0</v>
      </c>
      <c r="E15" s="53">
        <f>IF('ACIF Growth Figures'!G52=0,0,'ACIF Growth Figures'!G52-1)</f>
        <v>0</v>
      </c>
      <c r="F15" s="53">
        <f>IF('ACIF Growth Figures'!H52=0,0,'ACIF Growth Figures'!H52-1)</f>
        <v>0</v>
      </c>
      <c r="G15" s="53">
        <f>IF('ACIF Growth Figures'!I52=0,0,'ACIF Growth Figures'!I52-1)</f>
        <v>0</v>
      </c>
      <c r="H15" s="214">
        <f>IF('ACIF Growth Figures'!J52=0,0,'ACIF Growth Figures'!J52-1)</f>
        <v>0</v>
      </c>
      <c r="I15" s="53">
        <f>IF('ACIF Growth Figures'!K52=0,0,'ACIF Growth Figures'!K52-1)</f>
        <v>0</v>
      </c>
      <c r="J15" s="53">
        <f>IF('ACIF Growth Figures'!L52=0,0,'ACIF Growth Figures'!L52-1)</f>
        <v>0</v>
      </c>
      <c r="K15" s="53">
        <f>IF('ACIF Growth Figures'!M52=0,0,'ACIF Growth Figures'!M52-1)</f>
        <v>0</v>
      </c>
      <c r="L15" s="53">
        <f>IF('ACIF Growth Figures'!N52=0,0,'ACIF Growth Figures'!N52-1)</f>
        <v>0</v>
      </c>
      <c r="M15" s="53">
        <f>IF('ACIF Growth Figures'!O52=0,0,'ACIF Growth Figures'!O52-1)</f>
        <v>0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143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143"/>
      <c r="AR15" s="4"/>
      <c r="AS15" s="4"/>
      <c r="AT15" s="4"/>
      <c r="AU15" s="4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</row>
    <row r="16" spans="1:68" x14ac:dyDescent="0.2">
      <c r="A16" s="4"/>
      <c r="B16" s="68">
        <f>IF('Historical Expenditure-Volumes'!B17=0," ",'Historical Expenditure-Volumes'!B17)</f>
        <v>111</v>
      </c>
      <c r="C16" s="176">
        <f>'Historical Expenditure-Volumes'!H37</f>
        <v>1</v>
      </c>
      <c r="D16" s="53">
        <f>IF('ACIF Growth Figures'!F53=0,0,'ACIF Growth Figures'!F53-1)</f>
        <v>-6.899488926746189E-3</v>
      </c>
      <c r="E16" s="53">
        <f>IF('ACIF Growth Figures'!G53=0,0,'ACIF Growth Figures'!G53-1)</f>
        <v>0.14383737884895798</v>
      </c>
      <c r="F16" s="53">
        <f>IF('ACIF Growth Figures'!H53=0,0,'ACIF Growth Figures'!H53-1)</f>
        <v>4.4466106778644265E-2</v>
      </c>
      <c r="G16" s="53">
        <f>IF('ACIF Growth Figures'!I53=0,0,'ACIF Growth Figures'!I53-1)</f>
        <v>-0.11163759063823675</v>
      </c>
      <c r="H16" s="214">
        <f>IF('ACIF Growth Figures'!J53=0,0,'ACIF Growth Figures'!J53-1)</f>
        <v>-7.7582026830450901E-2</v>
      </c>
      <c r="I16" s="53">
        <f>IF('ACIF Growth Figures'!K53=0,0,'ACIF Growth Figures'!K53-1)</f>
        <v>-5.6509549675836657E-2</v>
      </c>
      <c r="J16" s="53">
        <f>IF('ACIF Growth Figures'!L53=0,0,'ACIF Growth Figures'!L53-1)</f>
        <v>-3.6772216547497405E-2</v>
      </c>
      <c r="K16" s="53">
        <f>IF('ACIF Growth Figures'!M53=0,0,'ACIF Growth Figures'!M53-1)</f>
        <v>8.8498987756675973E-2</v>
      </c>
      <c r="L16" s="53">
        <f>IF('ACIF Growth Figures'!N53=0,0,'ACIF Growth Figures'!N53-1)</f>
        <v>4.9331325834735651E-2</v>
      </c>
      <c r="M16" s="53">
        <f>IF('ACIF Growth Figures'!O53=0,0,'ACIF Growth Figures'!O53-1)</f>
        <v>9.4530722484806873E-3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143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143"/>
      <c r="AR16" s="4"/>
      <c r="AS16" s="4"/>
      <c r="AT16" s="4"/>
      <c r="AU16" s="4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</row>
    <row r="17" spans="1:68" x14ac:dyDescent="0.2">
      <c r="A17" s="4"/>
      <c r="B17" s="68">
        <f>IF('Historical Expenditure-Volumes'!B18=0," ",'Historical Expenditure-Volumes'!B18)</f>
        <v>114</v>
      </c>
      <c r="C17" s="176">
        <f>'Historical Expenditure-Volumes'!H38</f>
        <v>0</v>
      </c>
      <c r="D17" s="53">
        <f>IF('ACIF Growth Figures'!F54=0,0,'ACIF Growth Figures'!F54-1)</f>
        <v>0</v>
      </c>
      <c r="E17" s="53">
        <f>IF('ACIF Growth Figures'!G54=0,0,'ACIF Growth Figures'!G54-1)</f>
        <v>0</v>
      </c>
      <c r="F17" s="53">
        <f>IF('ACIF Growth Figures'!H54=0,0,'ACIF Growth Figures'!H54-1)</f>
        <v>0</v>
      </c>
      <c r="G17" s="53">
        <f>IF('ACIF Growth Figures'!I54=0,0,'ACIF Growth Figures'!I54-1)</f>
        <v>0</v>
      </c>
      <c r="H17" s="214">
        <f>IF('ACIF Growth Figures'!J54=0,0,'ACIF Growth Figures'!J54-1)</f>
        <v>0</v>
      </c>
      <c r="I17" s="53">
        <f>IF('ACIF Growth Figures'!K54=0,0,'ACIF Growth Figures'!K54-1)</f>
        <v>0</v>
      </c>
      <c r="J17" s="53">
        <f>IF('ACIF Growth Figures'!L54=0,0,'ACIF Growth Figures'!L54-1)</f>
        <v>0</v>
      </c>
      <c r="K17" s="53">
        <f>IF('ACIF Growth Figures'!M54=0,0,'ACIF Growth Figures'!M54-1)</f>
        <v>0</v>
      </c>
      <c r="L17" s="53">
        <f>IF('ACIF Growth Figures'!N54=0,0,'ACIF Growth Figures'!N54-1)</f>
        <v>0</v>
      </c>
      <c r="M17" s="53">
        <f>IF('ACIF Growth Figures'!O54=0,0,'ACIF Growth Figures'!O54-1)</f>
        <v>0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143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143"/>
      <c r="AR17" s="4"/>
      <c r="AS17" s="4"/>
      <c r="AT17" s="4"/>
      <c r="AU17" s="4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</row>
    <row r="18" spans="1:68" x14ac:dyDescent="0.2">
      <c r="A18" s="4"/>
      <c r="B18" s="68">
        <f>IF('Historical Expenditure-Volumes'!B19=0," ",'Historical Expenditure-Volumes'!B19)</f>
        <v>115</v>
      </c>
      <c r="C18" s="176">
        <f>'Historical Expenditure-Volumes'!H39</f>
        <v>0</v>
      </c>
      <c r="D18" s="53">
        <f>IF('ACIF Growth Figures'!F55=0,0,'ACIF Growth Figures'!F55-1)</f>
        <v>0</v>
      </c>
      <c r="E18" s="53">
        <f>IF('ACIF Growth Figures'!G55=0,0,'ACIF Growth Figures'!G55-1)</f>
        <v>0</v>
      </c>
      <c r="F18" s="53">
        <f>IF('ACIF Growth Figures'!H55=0,0,'ACIF Growth Figures'!H55-1)</f>
        <v>0</v>
      </c>
      <c r="G18" s="53">
        <f>IF('ACIF Growth Figures'!I55=0,0,'ACIF Growth Figures'!I55-1)</f>
        <v>0</v>
      </c>
      <c r="H18" s="214">
        <f>IF('ACIF Growth Figures'!J55=0,0,'ACIF Growth Figures'!J55-1)</f>
        <v>0</v>
      </c>
      <c r="I18" s="53">
        <f>IF('ACIF Growth Figures'!K55=0,0,'ACIF Growth Figures'!K55-1)</f>
        <v>0</v>
      </c>
      <c r="J18" s="53">
        <f>IF('ACIF Growth Figures'!L55=0,0,'ACIF Growth Figures'!L55-1)</f>
        <v>0</v>
      </c>
      <c r="K18" s="53">
        <f>IF('ACIF Growth Figures'!M55=0,0,'ACIF Growth Figures'!M55-1)</f>
        <v>0</v>
      </c>
      <c r="L18" s="53">
        <f>IF('ACIF Growth Figures'!N55=0,0,'ACIF Growth Figures'!N55-1)</f>
        <v>0</v>
      </c>
      <c r="M18" s="53">
        <f>IF('ACIF Growth Figures'!O55=0,0,'ACIF Growth Figures'!O55-1)</f>
        <v>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143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143"/>
      <c r="AR18" s="4"/>
      <c r="AS18" s="4"/>
      <c r="AT18" s="4"/>
      <c r="AU18" s="4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</row>
    <row r="19" spans="1:68" x14ac:dyDescent="0.2">
      <c r="A19" s="4"/>
      <c r="B19" s="68">
        <f>IF('Historical Expenditure-Volumes'!B20=0," ",'Historical Expenditure-Volumes'!B20)</f>
        <v>116</v>
      </c>
      <c r="C19" s="176">
        <f>'Historical Expenditure-Volumes'!H40</f>
        <v>1</v>
      </c>
      <c r="D19" s="53">
        <f>IF('ACIF Growth Figures'!F56=0,0,'ACIF Growth Figures'!F56-1)</f>
        <v>2.6026967701473724E-2</v>
      </c>
      <c r="E19" s="53">
        <f>IF('ACIF Growth Figures'!G56=0,0,'ACIF Growth Figures'!G56-1)</f>
        <v>-1.7726161369193139E-2</v>
      </c>
      <c r="F19" s="53">
        <f>IF('ACIF Growth Figures'!H56=0,0,'ACIF Growth Figures'!H56-1)</f>
        <v>5.009334163036705E-2</v>
      </c>
      <c r="G19" s="53">
        <f>IF('ACIF Growth Figures'!I56=0,0,'ACIF Growth Figures'!I56-1)</f>
        <v>-9.8962962962962919E-2</v>
      </c>
      <c r="H19" s="214">
        <f>IF('ACIF Growth Figures'!J56=0,0,'ACIF Growth Figures'!J56-1)</f>
        <v>4.9325879644853687E-2</v>
      </c>
      <c r="I19" s="53">
        <f>IF('ACIF Growth Figures'!K56=0,0,'ACIF Growth Figures'!K56-1)</f>
        <v>1.1281729865246115E-2</v>
      </c>
      <c r="J19" s="53">
        <f>IF('ACIF Growth Figures'!L56=0,0,'ACIF Growth Figures'!L56-1)</f>
        <v>2.3551286024171114E-2</v>
      </c>
      <c r="K19" s="53">
        <f>IF('ACIF Growth Figures'!M56=0,0,'ACIF Growth Figures'!M56-1)</f>
        <v>6.6606115652436682E-3</v>
      </c>
      <c r="L19" s="53">
        <f>IF('ACIF Growth Figures'!N56=0,0,'ACIF Growth Figures'!N56-1)</f>
        <v>6.9172932330827663E-3</v>
      </c>
      <c r="M19" s="53">
        <f>IF('ACIF Growth Figures'!O56=0,0,'ACIF Growth Figures'!O56-1)</f>
        <v>2.9868578255674016E-3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143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143"/>
      <c r="AR19" s="4"/>
      <c r="AS19" s="4"/>
      <c r="AT19" s="4"/>
      <c r="AU19" s="4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</row>
    <row r="20" spans="1:68" x14ac:dyDescent="0.2">
      <c r="A20" s="4"/>
      <c r="B20" s="68">
        <f>IF('Historical Expenditure-Volumes'!B21=0," ",'Historical Expenditure-Volumes'!B21)</f>
        <v>118</v>
      </c>
      <c r="C20" s="176">
        <f>'Historical Expenditure-Volumes'!H41</f>
        <v>0</v>
      </c>
      <c r="D20" s="53">
        <f>IF('ACIF Growth Figures'!F57=0,0,'ACIF Growth Figures'!F57-1)</f>
        <v>0</v>
      </c>
      <c r="E20" s="53">
        <f>IF('ACIF Growth Figures'!G57=0,0,'ACIF Growth Figures'!G57-1)</f>
        <v>0</v>
      </c>
      <c r="F20" s="53">
        <f>IF('ACIF Growth Figures'!H57=0,0,'ACIF Growth Figures'!H57-1)</f>
        <v>0</v>
      </c>
      <c r="G20" s="53">
        <f>IF('ACIF Growth Figures'!I57=0,0,'ACIF Growth Figures'!I57-1)</f>
        <v>0</v>
      </c>
      <c r="H20" s="214">
        <f>IF('ACIF Growth Figures'!J57=0,0,'ACIF Growth Figures'!J57-1)</f>
        <v>0</v>
      </c>
      <c r="I20" s="53">
        <f>IF('ACIF Growth Figures'!K57=0,0,'ACIF Growth Figures'!K57-1)</f>
        <v>0</v>
      </c>
      <c r="J20" s="53">
        <f>IF('ACIF Growth Figures'!L57=0,0,'ACIF Growth Figures'!L57-1)</f>
        <v>0</v>
      </c>
      <c r="K20" s="53">
        <f>IF('ACIF Growth Figures'!M57=0,0,'ACIF Growth Figures'!M57-1)</f>
        <v>0</v>
      </c>
      <c r="L20" s="53">
        <f>IF('ACIF Growth Figures'!N57=0,0,'ACIF Growth Figures'!N57-1)</f>
        <v>0</v>
      </c>
      <c r="M20" s="53">
        <f>IF('ACIF Growth Figures'!O57=0,0,'ACIF Growth Figures'!O57-1)</f>
        <v>0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143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143"/>
      <c r="AR20" s="4"/>
      <c r="AS20" s="4"/>
      <c r="AT20" s="4"/>
      <c r="AU20" s="4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</row>
    <row r="21" spans="1:68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143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143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143"/>
      <c r="AR21" s="4"/>
      <c r="AS21" s="4"/>
      <c r="AT21" s="4"/>
      <c r="AU21" s="4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</row>
    <row r="22" spans="1:68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143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143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143"/>
      <c r="AR22" s="4"/>
      <c r="AS22" s="4"/>
      <c r="AT22" s="4"/>
      <c r="AU22" s="4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</row>
    <row r="23" spans="1:68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143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143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143"/>
      <c r="AR23" s="4"/>
      <c r="AS23" s="4"/>
      <c r="AT23" s="4"/>
      <c r="AU23" s="4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</row>
    <row r="24" spans="1:68" ht="15.75" x14ac:dyDescent="0.25">
      <c r="A24" s="28"/>
      <c r="B24" s="28" t="s">
        <v>307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</row>
    <row r="25" spans="1:68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43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143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143"/>
      <c r="AR25" s="4"/>
      <c r="AS25" s="4"/>
      <c r="AT25" s="4"/>
      <c r="AU25" s="4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</row>
    <row r="26" spans="1:68" hidden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14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143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143"/>
      <c r="AR26" s="4"/>
      <c r="AS26" s="4"/>
      <c r="AT26" s="4"/>
      <c r="AU26" s="4"/>
    </row>
    <row r="27" spans="1:68" hidden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14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143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143"/>
      <c r="AR27" s="4"/>
      <c r="AS27" s="4"/>
      <c r="AT27" s="4"/>
      <c r="AU27" s="4"/>
    </row>
    <row r="28" spans="1:68" hidden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143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143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143"/>
      <c r="AR28" s="4"/>
      <c r="AS28" s="4"/>
      <c r="AT28" s="4"/>
      <c r="AU28" s="4"/>
    </row>
    <row r="29" spans="1:68" hidden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143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143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143"/>
      <c r="AR29" s="4"/>
      <c r="AS29" s="4"/>
      <c r="AT29" s="4"/>
      <c r="AU29" s="4"/>
    </row>
    <row r="30" spans="1:68" hidden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143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143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143"/>
      <c r="AR30" s="4"/>
      <c r="AS30" s="4"/>
      <c r="AT30" s="4"/>
      <c r="AU30" s="4"/>
    </row>
    <row r="31" spans="1:68" hidden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143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143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143"/>
      <c r="AR31" s="4"/>
      <c r="AS31" s="4"/>
      <c r="AT31" s="4"/>
      <c r="AU31" s="4"/>
    </row>
    <row r="32" spans="1:68" hidden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143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143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143"/>
      <c r="AR32" s="4"/>
      <c r="AS32" s="4"/>
      <c r="AT32" s="4"/>
      <c r="AU32" s="4"/>
    </row>
    <row r="33" spans="1:43" hidden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14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143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143"/>
    </row>
    <row r="34" spans="1:43" hidden="1" x14ac:dyDescent="0.2">
      <c r="A34" s="4"/>
    </row>
    <row r="35" spans="1:43" hidden="1" x14ac:dyDescent="0.2">
      <c r="A35" s="4"/>
    </row>
    <row r="36" spans="1:43" hidden="1" x14ac:dyDescent="0.2">
      <c r="A36" s="4"/>
    </row>
    <row r="37" spans="1:43" hidden="1" x14ac:dyDescent="0.2">
      <c r="A37" s="4"/>
    </row>
    <row r="38" spans="1:43" hidden="1" x14ac:dyDescent="0.2">
      <c r="A38" s="4"/>
    </row>
    <row r="39" spans="1:43" hidden="1" x14ac:dyDescent="0.2">
      <c r="A39" s="4"/>
    </row>
    <row r="40" spans="1:43" hidden="1" x14ac:dyDescent="0.2">
      <c r="A40" s="4"/>
    </row>
    <row r="41" spans="1:43" hidden="1" x14ac:dyDescent="0.2">
      <c r="A41" s="4"/>
    </row>
    <row r="42" spans="1:43" hidden="1" x14ac:dyDescent="0.2">
      <c r="A42" s="4"/>
    </row>
    <row r="43" spans="1:43" hidden="1" x14ac:dyDescent="0.2">
      <c r="A43" s="4"/>
    </row>
    <row r="44" spans="1:43" hidden="1" x14ac:dyDescent="0.2">
      <c r="A44" s="4"/>
    </row>
    <row r="45" spans="1:43" hidden="1" x14ac:dyDescent="0.2">
      <c r="A45" s="4"/>
    </row>
    <row r="46" spans="1:43" hidden="1" x14ac:dyDescent="0.2">
      <c r="A46" s="4"/>
    </row>
    <row r="47" spans="1:43" hidden="1" x14ac:dyDescent="0.2">
      <c r="A47" s="4"/>
    </row>
    <row r="48" spans="1:43" hidden="1" x14ac:dyDescent="0.2">
      <c r="A48" s="4"/>
    </row>
    <row r="49" spans="1:1" hidden="1" x14ac:dyDescent="0.2">
      <c r="A49" s="4"/>
    </row>
    <row r="50" spans="1:1" hidden="1" x14ac:dyDescent="0.2">
      <c r="A50" s="4"/>
    </row>
    <row r="51" spans="1:1" hidden="1" x14ac:dyDescent="0.2">
      <c r="A51" s="4"/>
    </row>
    <row r="52" spans="1:1" hidden="1" x14ac:dyDescent="0.2">
      <c r="A52" s="4"/>
    </row>
    <row r="53" spans="1:1" hidden="1" x14ac:dyDescent="0.2">
      <c r="A53" s="4"/>
    </row>
    <row r="54" spans="1:1" hidden="1" x14ac:dyDescent="0.2">
      <c r="A54" s="4"/>
    </row>
    <row r="55" spans="1:1" hidden="1" x14ac:dyDescent="0.2">
      <c r="A55" s="4"/>
    </row>
    <row r="56" spans="1:1" hidden="1" x14ac:dyDescent="0.2">
      <c r="A56" s="4"/>
    </row>
    <row r="57" spans="1:1" hidden="1" x14ac:dyDescent="0.2">
      <c r="A57" s="4"/>
    </row>
    <row r="58" spans="1:1" hidden="1" x14ac:dyDescent="0.2">
      <c r="A58" s="4"/>
    </row>
    <row r="59" spans="1:1" hidden="1" x14ac:dyDescent="0.2">
      <c r="A59" s="4"/>
    </row>
    <row r="60" spans="1:1" hidden="1" x14ac:dyDescent="0.2">
      <c r="A60" s="4"/>
    </row>
    <row r="61" spans="1:1" hidden="1" x14ac:dyDescent="0.2">
      <c r="A61" s="4"/>
    </row>
    <row r="62" spans="1:1" hidden="1" x14ac:dyDescent="0.2">
      <c r="A62" s="4"/>
    </row>
    <row r="63" spans="1:1" hidden="1" x14ac:dyDescent="0.2">
      <c r="A63" s="4"/>
    </row>
    <row r="64" spans="1:1" hidden="1" x14ac:dyDescent="0.2">
      <c r="A64" s="4"/>
    </row>
    <row r="65" spans="1:1" hidden="1" x14ac:dyDescent="0.2">
      <c r="A65" s="4"/>
    </row>
    <row r="66" spans="1:1" hidden="1" x14ac:dyDescent="0.2">
      <c r="A66" s="4"/>
    </row>
    <row r="67" spans="1:1" hidden="1" x14ac:dyDescent="0.2">
      <c r="A67" s="4"/>
    </row>
    <row r="68" spans="1:1" hidden="1" x14ac:dyDescent="0.2">
      <c r="A68" s="4"/>
    </row>
    <row r="69" spans="1:1" hidden="1" x14ac:dyDescent="0.2">
      <c r="A69" s="4"/>
    </row>
    <row r="70" spans="1:1" hidden="1" x14ac:dyDescent="0.2">
      <c r="A70" s="4"/>
    </row>
    <row r="71" spans="1:1" hidden="1" x14ac:dyDescent="0.2">
      <c r="A71" s="4"/>
    </row>
    <row r="72" spans="1:1" hidden="1" x14ac:dyDescent="0.2">
      <c r="A72" s="4"/>
    </row>
    <row r="73" spans="1:1" hidden="1" x14ac:dyDescent="0.2">
      <c r="A73" s="4"/>
    </row>
    <row r="74" spans="1:1" hidden="1" x14ac:dyDescent="0.2">
      <c r="A74" s="4"/>
    </row>
    <row r="75" spans="1:1" hidden="1" x14ac:dyDescent="0.2">
      <c r="A75" s="4"/>
    </row>
    <row r="76" spans="1:1" hidden="1" x14ac:dyDescent="0.2">
      <c r="A76" s="4"/>
    </row>
    <row r="77" spans="1:1" hidden="1" x14ac:dyDescent="0.2">
      <c r="A77" s="4"/>
    </row>
    <row r="78" spans="1:1" hidden="1" x14ac:dyDescent="0.2">
      <c r="A78" s="4"/>
    </row>
    <row r="79" spans="1:1" hidden="1" x14ac:dyDescent="0.2">
      <c r="A79" s="4"/>
    </row>
    <row r="80" spans="1:1" hidden="1" x14ac:dyDescent="0.2">
      <c r="A80" s="4"/>
    </row>
    <row r="81" spans="1:1" hidden="1" x14ac:dyDescent="0.2">
      <c r="A81" s="4"/>
    </row>
    <row r="82" spans="1:1" hidden="1" x14ac:dyDescent="0.2">
      <c r="A82" s="4"/>
    </row>
    <row r="83" spans="1:1" hidden="1" x14ac:dyDescent="0.2">
      <c r="A83" s="4"/>
    </row>
    <row r="84" spans="1:1" hidden="1" x14ac:dyDescent="0.2">
      <c r="A84" s="4"/>
    </row>
    <row r="85" spans="1:1" hidden="1" x14ac:dyDescent="0.2">
      <c r="A85" s="4"/>
    </row>
    <row r="86" spans="1:1" hidden="1" x14ac:dyDescent="0.2">
      <c r="A86" s="4"/>
    </row>
    <row r="87" spans="1:1" hidden="1" x14ac:dyDescent="0.2">
      <c r="A87" s="4"/>
    </row>
    <row r="88" spans="1:1" hidden="1" x14ac:dyDescent="0.2">
      <c r="A88" s="4"/>
    </row>
    <row r="89" spans="1:1" hidden="1" x14ac:dyDescent="0.2"/>
    <row r="90" spans="1:1" hidden="1" x14ac:dyDescent="0.2"/>
    <row r="91" spans="1:1" hidden="1" x14ac:dyDescent="0.2"/>
    <row r="92" spans="1:1" hidden="1" x14ac:dyDescent="0.2"/>
    <row r="93" spans="1:1" hidden="1" x14ac:dyDescent="0.2"/>
    <row r="94" spans="1:1" hidden="1" x14ac:dyDescent="0.2"/>
    <row r="95" spans="1:1" hidden="1" x14ac:dyDescent="0.2"/>
    <row r="96" spans="1:1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</sheetData>
  <mergeCells count="1">
    <mergeCell ref="D6:M6"/>
  </mergeCells>
  <hyperlinks>
    <hyperlink ref="M1" location="Menu!A1" display="Menu" xr:uid="{00000000-0004-0000-08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Legend</vt:lpstr>
      <vt:lpstr>Menu</vt:lpstr>
      <vt:lpstr>Inflation</vt:lpstr>
      <vt:lpstr>Historical Expenditure-Volumes</vt:lpstr>
      <vt:lpstr>Historical Contributions</vt:lpstr>
      <vt:lpstr>ACIF Growth Figures</vt:lpstr>
      <vt:lpstr>Major Projects</vt:lpstr>
      <vt:lpstr>Function Code Mapping</vt:lpstr>
      <vt:lpstr>Growth Rates</vt:lpstr>
      <vt:lpstr>Unit Rates</vt:lpstr>
      <vt:lpstr>Forecast Expenditure-Volumes</vt:lpstr>
      <vt:lpstr>Forecast Contributions</vt:lpstr>
      <vt:lpstr>Contributions Impact</vt:lpstr>
      <vt:lpstr>Forecast Contributions -AER</vt:lpstr>
      <vt:lpstr>Expenditure &amp; Volume Output</vt:lpstr>
      <vt:lpstr>Gross Capex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2020-01-22T03:25:50Z</dcterms:created>
  <dcterms:modified xsi:type="dcterms:W3CDTF">2020-11-30T05:38:34Z</dcterms:modified>
</cp:coreProperties>
</file>