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codeName="ThisWorkbook"/>
  <xr:revisionPtr revIDLastSave="0" documentId="13_ncr:1_{877687E7-F7FF-428F-9AE5-76EB93D081A1}" xr6:coauthVersionLast="45" xr6:coauthVersionMax="45" xr10:uidLastSave="{00000000-0000-0000-0000-000000000000}"/>
  <bookViews>
    <workbookView xWindow="-108" yWindow="-108" windowWidth="23256" windowHeight="12600" tabRatio="760" activeTab="2" xr2:uid="{00000000-000D-0000-FFFF-FFFF00000000}"/>
  </bookViews>
  <sheets>
    <sheet name="Output_VPN" sheetId="78" r:id="rId1"/>
    <sheet name="Output_UE" sheetId="77" r:id="rId2"/>
    <sheet name="Summary" sheetId="70" r:id="rId3"/>
    <sheet name="Assumptions" sheetId="74" r:id="rId4"/>
    <sheet name="Updated program" sheetId="69" r:id="rId5"/>
    <sheet name="Benefits" sheetId="76" r:id="rId6"/>
  </sheets>
  <definedNames>
    <definedName name="Conv_2021">Assumptions!$B$16</definedName>
    <definedName name="Option1_categories">'Updated program'!$C$49:$C$54</definedName>
    <definedName name="Option1_costs">'Updated program'!$R$49:$V$54</definedName>
    <definedName name="_xlnm.Print_Area" localSheetId="2">Summary!$A$1:$J$30</definedName>
    <definedName name="years">'Updated program'!$R$8:$V$8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1" i="76" l="1"/>
  <c r="G121" i="76"/>
  <c r="H121" i="76"/>
  <c r="I121" i="76"/>
  <c r="E121" i="76"/>
  <c r="E145" i="76" l="1"/>
  <c r="F125" i="76" l="1"/>
  <c r="I125" i="76"/>
  <c r="H125" i="76"/>
  <c r="G125" i="76" l="1"/>
  <c r="E125" i="76"/>
  <c r="I28" i="76"/>
  <c r="G28" i="76"/>
  <c r="I44" i="76" l="1"/>
  <c r="I71" i="76"/>
  <c r="G72" i="76"/>
  <c r="I72" i="76" s="1"/>
  <c r="I70" i="76" s="1"/>
  <c r="S86" i="69"/>
  <c r="T86" i="69"/>
  <c r="U86" i="69"/>
  <c r="V86" i="69"/>
  <c r="H126" i="76" l="1"/>
  <c r="G126" i="76"/>
  <c r="E131" i="76"/>
  <c r="V80" i="69"/>
  <c r="U80" i="69"/>
  <c r="T80" i="69"/>
  <c r="S80" i="69"/>
  <c r="V77" i="69"/>
  <c r="U77" i="69"/>
  <c r="T77" i="69"/>
  <c r="S77" i="69"/>
  <c r="R77" i="69"/>
  <c r="V76" i="69"/>
  <c r="U76" i="69"/>
  <c r="T76" i="69"/>
  <c r="S76" i="69"/>
  <c r="R76" i="69"/>
  <c r="V75" i="69"/>
  <c r="U75" i="69"/>
  <c r="T75" i="69"/>
  <c r="S75" i="69"/>
  <c r="V74" i="69"/>
  <c r="U74" i="69"/>
  <c r="T74" i="69"/>
  <c r="S74" i="69"/>
  <c r="R74" i="69"/>
  <c r="V73" i="69"/>
  <c r="U73" i="69"/>
  <c r="T73" i="69"/>
  <c r="S73" i="69"/>
  <c r="R73" i="69"/>
  <c r="V72" i="69"/>
  <c r="U72" i="69"/>
  <c r="T72" i="69"/>
  <c r="S72" i="69"/>
  <c r="V66" i="69"/>
  <c r="U66" i="69"/>
  <c r="T66" i="69"/>
  <c r="S66" i="69"/>
  <c r="R66" i="69"/>
  <c r="V65" i="69"/>
  <c r="U65" i="69"/>
  <c r="T65" i="69"/>
  <c r="S65" i="69"/>
  <c r="R65" i="69"/>
  <c r="V64" i="69"/>
  <c r="U64" i="69"/>
  <c r="T64" i="69"/>
  <c r="S64" i="69"/>
  <c r="R64" i="69"/>
  <c r="V63" i="69"/>
  <c r="U63" i="69"/>
  <c r="T63" i="69"/>
  <c r="S63" i="69"/>
  <c r="R63" i="69"/>
  <c r="V62" i="69"/>
  <c r="U62" i="69"/>
  <c r="T62" i="69"/>
  <c r="S62" i="69"/>
  <c r="R62" i="69"/>
  <c r="V61" i="69"/>
  <c r="U61" i="69"/>
  <c r="T61" i="69"/>
  <c r="S61" i="69"/>
  <c r="V57" i="69"/>
  <c r="U57" i="69"/>
  <c r="T57" i="69"/>
  <c r="S57" i="69"/>
  <c r="V56" i="69"/>
  <c r="U56" i="69"/>
  <c r="T56" i="69"/>
  <c r="S56" i="69"/>
  <c r="V55" i="69"/>
  <c r="U55" i="69"/>
  <c r="T55" i="69"/>
  <c r="S55" i="69"/>
  <c r="V54" i="69"/>
  <c r="U54" i="69"/>
  <c r="T54" i="69"/>
  <c r="S54" i="69"/>
  <c r="R54" i="69"/>
  <c r="V53" i="69"/>
  <c r="U53" i="69"/>
  <c r="T53" i="69"/>
  <c r="S53" i="69"/>
  <c r="R53" i="69"/>
  <c r="V52" i="69"/>
  <c r="U52" i="69"/>
  <c r="T52" i="69"/>
  <c r="S52" i="69"/>
  <c r="R52" i="69"/>
  <c r="V51" i="69"/>
  <c r="U51" i="69"/>
  <c r="T51" i="69"/>
  <c r="S51" i="69"/>
  <c r="R51" i="69"/>
  <c r="V50" i="69"/>
  <c r="U50" i="69"/>
  <c r="T50" i="69"/>
  <c r="S50" i="69"/>
  <c r="R50" i="69"/>
  <c r="V49" i="69"/>
  <c r="U49" i="69"/>
  <c r="T49" i="69"/>
  <c r="S49" i="69"/>
  <c r="V43" i="69"/>
  <c r="U43" i="69"/>
  <c r="T43" i="69"/>
  <c r="S43" i="69"/>
  <c r="R43" i="69"/>
  <c r="V42" i="69"/>
  <c r="U42" i="69"/>
  <c r="T42" i="69"/>
  <c r="S42" i="69"/>
  <c r="R42" i="69"/>
  <c r="V41" i="69"/>
  <c r="U41" i="69"/>
  <c r="T41" i="69"/>
  <c r="S41" i="69"/>
  <c r="R41" i="69"/>
  <c r="V40" i="69"/>
  <c r="U40" i="69"/>
  <c r="T40" i="69"/>
  <c r="S40" i="69"/>
  <c r="R40" i="69"/>
  <c r="V39" i="69"/>
  <c r="U39" i="69"/>
  <c r="T39" i="69"/>
  <c r="S39" i="69"/>
  <c r="V36" i="69"/>
  <c r="U36" i="69"/>
  <c r="T36" i="69"/>
  <c r="S36" i="69"/>
  <c r="R36" i="69"/>
  <c r="V35" i="69"/>
  <c r="U35" i="69"/>
  <c r="T35" i="69"/>
  <c r="S35" i="69"/>
  <c r="R35" i="69"/>
  <c r="V34" i="69"/>
  <c r="U34" i="69"/>
  <c r="T34" i="69"/>
  <c r="S34" i="69"/>
  <c r="R34" i="69"/>
  <c r="V33" i="69"/>
  <c r="U33" i="69"/>
  <c r="T33" i="69"/>
  <c r="S33" i="69"/>
  <c r="R33" i="69"/>
  <c r="V32" i="69"/>
  <c r="U32" i="69"/>
  <c r="T32" i="69"/>
  <c r="S32" i="69"/>
  <c r="R32" i="69"/>
  <c r="V31" i="69"/>
  <c r="U31" i="69"/>
  <c r="T31" i="69"/>
  <c r="S31" i="69"/>
  <c r="R31" i="69"/>
  <c r="V30" i="69"/>
  <c r="U30" i="69"/>
  <c r="T30" i="69"/>
  <c r="S30" i="69"/>
  <c r="R30" i="69"/>
  <c r="V29" i="69"/>
  <c r="U29" i="69"/>
  <c r="T29" i="69"/>
  <c r="S29" i="69"/>
  <c r="R29" i="69"/>
  <c r="V28" i="69"/>
  <c r="U28" i="69"/>
  <c r="T28" i="69"/>
  <c r="S28" i="69"/>
  <c r="R28" i="69"/>
  <c r="V27" i="69"/>
  <c r="U27" i="69"/>
  <c r="T27" i="69"/>
  <c r="S27" i="69"/>
  <c r="R27" i="69"/>
  <c r="V26" i="69"/>
  <c r="U26" i="69"/>
  <c r="T26" i="69"/>
  <c r="S26" i="69"/>
  <c r="R26" i="69"/>
  <c r="V25" i="69"/>
  <c r="U25" i="69"/>
  <c r="T25" i="69"/>
  <c r="S25" i="69"/>
  <c r="R25" i="69"/>
  <c r="V24" i="69"/>
  <c r="U24" i="69"/>
  <c r="T24" i="69"/>
  <c r="S24" i="69"/>
  <c r="R24" i="69"/>
  <c r="V23" i="69"/>
  <c r="U23" i="69"/>
  <c r="T23" i="69"/>
  <c r="S23" i="69"/>
  <c r="R23" i="69"/>
  <c r="V22" i="69"/>
  <c r="U22" i="69"/>
  <c r="T22" i="69"/>
  <c r="S22" i="69"/>
  <c r="R22" i="69"/>
  <c r="V21" i="69"/>
  <c r="U21" i="69"/>
  <c r="T21" i="69"/>
  <c r="S21" i="69"/>
  <c r="R21" i="69"/>
  <c r="V20" i="69"/>
  <c r="U20" i="69"/>
  <c r="T20" i="69"/>
  <c r="S20" i="69"/>
  <c r="R20" i="69"/>
  <c r="V19" i="69"/>
  <c r="U19" i="69"/>
  <c r="T19" i="69"/>
  <c r="S19" i="69"/>
  <c r="R19" i="69"/>
  <c r="V18" i="69"/>
  <c r="U18" i="69"/>
  <c r="T18" i="69"/>
  <c r="S18" i="69"/>
  <c r="R18" i="69"/>
  <c r="V17" i="69"/>
  <c r="U17" i="69"/>
  <c r="T17" i="69"/>
  <c r="S17" i="69"/>
  <c r="R17" i="69"/>
  <c r="V16" i="69"/>
  <c r="U16" i="69"/>
  <c r="T16" i="69"/>
  <c r="S16" i="69"/>
  <c r="R16" i="69"/>
  <c r="V15" i="69"/>
  <c r="U15" i="69"/>
  <c r="T15" i="69"/>
  <c r="S15" i="69"/>
  <c r="R15" i="69"/>
  <c r="V14" i="69"/>
  <c r="U14" i="69"/>
  <c r="T14" i="69"/>
  <c r="S14" i="69"/>
  <c r="R14" i="69"/>
  <c r="V13" i="69"/>
  <c r="U13" i="69"/>
  <c r="T13" i="69"/>
  <c r="S13" i="69"/>
  <c r="R13" i="69"/>
  <c r="V12" i="69"/>
  <c r="U12" i="69"/>
  <c r="T12" i="69"/>
  <c r="S12" i="69"/>
  <c r="R12" i="69"/>
  <c r="V11" i="69"/>
  <c r="U11" i="69"/>
  <c r="T11" i="69"/>
  <c r="S11" i="69"/>
  <c r="R11" i="69"/>
  <c r="V10" i="69"/>
  <c r="U10" i="69"/>
  <c r="T10" i="69"/>
  <c r="S10" i="69"/>
  <c r="I14" i="76"/>
  <c r="G14" i="76"/>
  <c r="E14" i="76"/>
  <c r="I126" i="76" l="1"/>
  <c r="F126" i="76"/>
  <c r="I29" i="76"/>
  <c r="G29" i="76"/>
  <c r="G22" i="76"/>
  <c r="G23" i="76" s="1"/>
  <c r="I20" i="76"/>
  <c r="I19" i="76"/>
  <c r="G20" i="76"/>
  <c r="G19" i="76"/>
  <c r="I22" i="76"/>
  <c r="I23" i="76" s="1"/>
  <c r="I13" i="76"/>
  <c r="G13" i="76"/>
  <c r="B16" i="74"/>
  <c r="I30" i="76" l="1"/>
  <c r="I33" i="76"/>
  <c r="G30" i="76"/>
  <c r="G33" i="76"/>
  <c r="E71" i="76"/>
  <c r="G40" i="76"/>
  <c r="G39" i="76"/>
  <c r="G38" i="76"/>
  <c r="I38" i="76" s="1"/>
  <c r="E40" i="76"/>
  <c r="E47" i="76" s="1"/>
  <c r="E39" i="76"/>
  <c r="E46" i="76" s="1"/>
  <c r="E38" i="76"/>
  <c r="E45" i="76" s="1"/>
  <c r="I40" i="76" l="1"/>
  <c r="G47" i="76"/>
  <c r="I47" i="76" s="1"/>
  <c r="I39" i="76"/>
  <c r="G45" i="76"/>
  <c r="I45" i="76" s="1"/>
  <c r="G46" i="76"/>
  <c r="I46" i="76" s="1"/>
  <c r="E9" i="77"/>
  <c r="E9" i="78"/>
  <c r="Z10" i="78"/>
  <c r="Y10" i="78"/>
  <c r="X10" i="78"/>
  <c r="W10" i="78"/>
  <c r="V10" i="78"/>
  <c r="S10" i="78"/>
  <c r="T10" i="78" s="1"/>
  <c r="P10" i="78"/>
  <c r="Q10" i="78" s="1"/>
  <c r="M10" i="78"/>
  <c r="N10" i="78" s="1"/>
  <c r="J10" i="78"/>
  <c r="K10" i="78" s="1"/>
  <c r="G10" i="78"/>
  <c r="H10" i="78" s="1"/>
  <c r="D5" i="78"/>
  <c r="A1" i="78"/>
  <c r="D31" i="70"/>
  <c r="D30" i="70"/>
  <c r="D29" i="70"/>
  <c r="D23" i="70"/>
  <c r="D22" i="70"/>
  <c r="D21" i="70"/>
  <c r="E5" i="78" l="1"/>
  <c r="X3" i="69" l="1"/>
  <c r="D6" i="78" s="1"/>
  <c r="D6" i="77" l="1"/>
  <c r="I77" i="69"/>
  <c r="I76" i="69"/>
  <c r="I75" i="69"/>
  <c r="I74" i="69"/>
  <c r="I73" i="69"/>
  <c r="I72" i="69"/>
  <c r="C82" i="69"/>
  <c r="B27" i="74"/>
  <c r="B30" i="74" s="1"/>
  <c r="B29" i="74" l="1"/>
  <c r="B31" i="74" s="1"/>
  <c r="E55" i="76" l="1"/>
  <c r="E136" i="76" l="1"/>
  <c r="I135" i="76"/>
  <c r="G135" i="76"/>
  <c r="F135" i="76"/>
  <c r="H135" i="76" l="1"/>
  <c r="E61" i="76"/>
  <c r="I37" i="76"/>
  <c r="I27" i="76"/>
  <c r="G44" i="76"/>
  <c r="G9" i="76"/>
  <c r="I8" i="76"/>
  <c r="I7" i="76"/>
  <c r="F89" i="76" l="1"/>
  <c r="F88" i="76"/>
  <c r="F91" i="76"/>
  <c r="F87" i="76"/>
  <c r="F90" i="76"/>
  <c r="F86" i="76"/>
  <c r="G41" i="76"/>
  <c r="G42" i="76"/>
  <c r="G66" i="76"/>
  <c r="I9" i="76"/>
  <c r="G67" i="76" l="1"/>
  <c r="G75" i="76" s="1"/>
  <c r="G76" i="76" s="1"/>
  <c r="G48" i="76"/>
  <c r="G49" i="76"/>
  <c r="E13" i="76" l="1"/>
  <c r="D5" i="77" l="1"/>
  <c r="S10" i="77"/>
  <c r="T10" i="77" s="1"/>
  <c r="P10" i="77"/>
  <c r="Q10" i="77" s="1"/>
  <c r="M10" i="77"/>
  <c r="N10" i="77" s="1"/>
  <c r="J10" i="77"/>
  <c r="K10" i="77" s="1"/>
  <c r="G10" i="77"/>
  <c r="Z10" i="77"/>
  <c r="Y10" i="77"/>
  <c r="X10" i="77"/>
  <c r="W10" i="77"/>
  <c r="V10" i="77"/>
  <c r="A1" i="77"/>
  <c r="C33" i="76"/>
  <c r="E72" i="76"/>
  <c r="E28" i="76"/>
  <c r="E29" i="76" s="1"/>
  <c r="E9" i="76"/>
  <c r="R10" i="69"/>
  <c r="R39" i="69"/>
  <c r="E19" i="76"/>
  <c r="E20" i="76" s="1"/>
  <c r="E100" i="76"/>
  <c r="A2" i="76"/>
  <c r="A1" i="76"/>
  <c r="A5" i="69"/>
  <c r="D13" i="70"/>
  <c r="D12" i="70"/>
  <c r="D11" i="70"/>
  <c r="C56" i="69"/>
  <c r="C55" i="69"/>
  <c r="A2" i="69"/>
  <c r="A1" i="69"/>
  <c r="A2" i="70"/>
  <c r="A1" i="70"/>
  <c r="E66" i="76" l="1"/>
  <c r="E33" i="76"/>
  <c r="E34" i="76" s="1"/>
  <c r="R86" i="69"/>
  <c r="E5" i="77"/>
  <c r="E42" i="76"/>
  <c r="E41" i="76"/>
  <c r="R49" i="69"/>
  <c r="G34" i="76"/>
  <c r="I34" i="76"/>
  <c r="H10" i="77"/>
  <c r="E22" i="76"/>
  <c r="E23" i="76" s="1"/>
  <c r="E30" i="76"/>
  <c r="E44" i="76"/>
  <c r="H11" i="70"/>
  <c r="I12" i="70"/>
  <c r="F12" i="70"/>
  <c r="G12" i="70"/>
  <c r="J11" i="70"/>
  <c r="F11" i="70"/>
  <c r="F13" i="70"/>
  <c r="J12" i="70"/>
  <c r="H12" i="70"/>
  <c r="G13" i="70"/>
  <c r="E67" i="76" l="1"/>
  <c r="I66" i="76"/>
  <c r="G87" i="76"/>
  <c r="H88" i="76"/>
  <c r="I88" i="76"/>
  <c r="I86" i="76"/>
  <c r="I87" i="76"/>
  <c r="G89" i="76"/>
  <c r="G88" i="76"/>
  <c r="H86" i="76"/>
  <c r="H87" i="76"/>
  <c r="H89" i="76"/>
  <c r="I89" i="76"/>
  <c r="G86" i="76"/>
  <c r="E49" i="76"/>
  <c r="I49" i="76" s="1"/>
  <c r="I42" i="76"/>
  <c r="E48" i="76"/>
  <c r="I48" i="76" s="1"/>
  <c r="I41" i="76"/>
  <c r="F31" i="70"/>
  <c r="H12" i="78" s="1"/>
  <c r="J31" i="70"/>
  <c r="T12" i="78" s="1"/>
  <c r="G31" i="70"/>
  <c r="K12" i="78" s="1"/>
  <c r="F23" i="70"/>
  <c r="H12" i="77" s="1"/>
  <c r="H31" i="70"/>
  <c r="N12" i="78" s="1"/>
  <c r="I31" i="70"/>
  <c r="Q12" i="78" s="1"/>
  <c r="J23" i="70"/>
  <c r="T12" i="77" s="1"/>
  <c r="I30" i="70"/>
  <c r="P12" i="78" s="1"/>
  <c r="H30" i="70"/>
  <c r="M12" i="78" s="1"/>
  <c r="F30" i="70"/>
  <c r="G12" i="78" s="1"/>
  <c r="G30" i="70"/>
  <c r="J12" i="78" s="1"/>
  <c r="J30" i="70"/>
  <c r="S12" i="78" s="1"/>
  <c r="R61" i="69"/>
  <c r="R72" i="69" s="1"/>
  <c r="F29" i="70" s="1"/>
  <c r="F12" i="78" s="1"/>
  <c r="J29" i="70"/>
  <c r="R12" i="78" s="1"/>
  <c r="H29" i="70"/>
  <c r="L12" i="78" s="1"/>
  <c r="I29" i="70"/>
  <c r="O12" i="78" s="1"/>
  <c r="F122" i="76"/>
  <c r="I122" i="76"/>
  <c r="G122" i="76"/>
  <c r="H122" i="76"/>
  <c r="R55" i="69"/>
  <c r="F14" i="70"/>
  <c r="E85" i="76" s="1"/>
  <c r="H13" i="70"/>
  <c r="I13" i="70"/>
  <c r="J13" i="70"/>
  <c r="I65" i="76" l="1"/>
  <c r="I67" i="76"/>
  <c r="I75" i="76" s="1"/>
  <c r="I76" i="76" s="1"/>
  <c r="E75" i="76"/>
  <c r="E76" i="76" s="1"/>
  <c r="G90" i="76"/>
  <c r="I90" i="76"/>
  <c r="H90" i="76"/>
  <c r="R75" i="69"/>
  <c r="F21" i="70" s="1"/>
  <c r="F12" i="77" s="1"/>
  <c r="Y12" i="78"/>
  <c r="V12" i="78"/>
  <c r="Z12" i="78"/>
  <c r="X12" i="78"/>
  <c r="G23" i="70"/>
  <c r="K12" i="77" s="1"/>
  <c r="J22" i="70"/>
  <c r="S12" i="77" s="1"/>
  <c r="H23" i="70"/>
  <c r="N12" i="77" s="1"/>
  <c r="R67" i="69"/>
  <c r="J21" i="70"/>
  <c r="R12" i="77" s="1"/>
  <c r="I22" i="70"/>
  <c r="P12" i="77" s="1"/>
  <c r="T67" i="69"/>
  <c r="H21" i="70"/>
  <c r="L12" i="77" s="1"/>
  <c r="I23" i="70"/>
  <c r="Q12" i="77" s="1"/>
  <c r="H22" i="70"/>
  <c r="M12" i="77" s="1"/>
  <c r="V67" i="69"/>
  <c r="G22" i="70"/>
  <c r="J12" i="77" s="1"/>
  <c r="I21" i="70"/>
  <c r="O12" i="77" s="1"/>
  <c r="U67" i="69"/>
  <c r="R56" i="69"/>
  <c r="R57" i="69"/>
  <c r="J14" i="70"/>
  <c r="I85" i="76" s="1"/>
  <c r="I94" i="76" s="1"/>
  <c r="F32" i="70"/>
  <c r="I32" i="70"/>
  <c r="H14" i="70"/>
  <c r="G85" i="76" s="1"/>
  <c r="J32" i="70"/>
  <c r="H32" i="70"/>
  <c r="H92" i="76" l="1"/>
  <c r="H104" i="76" s="1"/>
  <c r="G92" i="76"/>
  <c r="I92" i="76"/>
  <c r="I104" i="76" s="1"/>
  <c r="H123" i="76"/>
  <c r="G123" i="76"/>
  <c r="F92" i="76"/>
  <c r="F123" i="76"/>
  <c r="I123" i="76"/>
  <c r="H91" i="76"/>
  <c r="H105" i="76" s="1"/>
  <c r="G91" i="76"/>
  <c r="I91" i="76"/>
  <c r="Z12" i="77"/>
  <c r="F22" i="70"/>
  <c r="G12" i="77" s="1"/>
  <c r="V12" i="77" s="1"/>
  <c r="Y12" i="77"/>
  <c r="X12" i="77"/>
  <c r="J24" i="70"/>
  <c r="H24" i="70"/>
  <c r="T78" i="69"/>
  <c r="V78" i="69"/>
  <c r="R78" i="69"/>
  <c r="R80" i="69" s="1"/>
  <c r="I24" i="70"/>
  <c r="U78" i="69"/>
  <c r="T69" i="69"/>
  <c r="R69" i="69"/>
  <c r="V69" i="69"/>
  <c r="E99" i="76"/>
  <c r="I99" i="76"/>
  <c r="G99" i="76"/>
  <c r="F105" i="76" l="1"/>
  <c r="F102" i="76"/>
  <c r="F101" i="76"/>
  <c r="F103" i="76"/>
  <c r="F104" i="76"/>
  <c r="F100" i="76"/>
  <c r="G103" i="76"/>
  <c r="G109" i="76" s="1"/>
  <c r="G101" i="76"/>
  <c r="G107" i="76" s="1"/>
  <c r="G102" i="76"/>
  <c r="G108" i="76" s="1"/>
  <c r="G100" i="76"/>
  <c r="G106" i="76" s="1"/>
  <c r="G105" i="76"/>
  <c r="G111" i="76" s="1"/>
  <c r="G104" i="76"/>
  <c r="G110" i="76" s="1"/>
  <c r="G136" i="76"/>
  <c r="G137" i="76" s="1"/>
  <c r="G130" i="76"/>
  <c r="H101" i="76"/>
  <c r="H103" i="76"/>
  <c r="H102" i="76"/>
  <c r="H100" i="76"/>
  <c r="F130" i="76"/>
  <c r="F136" i="76"/>
  <c r="F137" i="76" s="1"/>
  <c r="I102" i="76"/>
  <c r="I108" i="76" s="1"/>
  <c r="I100" i="76"/>
  <c r="I106" i="76" s="1"/>
  <c r="I101" i="76"/>
  <c r="I107" i="76" s="1"/>
  <c r="I103" i="76"/>
  <c r="I109" i="76" s="1"/>
  <c r="I105" i="76"/>
  <c r="I111" i="76" s="1"/>
  <c r="I130" i="76"/>
  <c r="I136" i="76"/>
  <c r="I137" i="76" s="1"/>
  <c r="H136" i="76"/>
  <c r="H137" i="76" s="1"/>
  <c r="H130" i="76"/>
  <c r="I110" i="76"/>
  <c r="E111" i="76"/>
  <c r="E109" i="76"/>
  <c r="E107" i="76"/>
  <c r="E106" i="76"/>
  <c r="E110" i="76"/>
  <c r="E108" i="76"/>
  <c r="I95" i="76"/>
  <c r="F24" i="70"/>
  <c r="E126" i="76"/>
  <c r="E127" i="76" s="1"/>
  <c r="E135" i="76"/>
  <c r="E137" i="76" s="1"/>
  <c r="D7" i="70"/>
  <c r="E139" i="76" l="1"/>
  <c r="G129" i="76"/>
  <c r="G131" i="76" s="1"/>
  <c r="F129" i="76"/>
  <c r="F131" i="76" s="1"/>
  <c r="I129" i="76"/>
  <c r="I131" i="76" s="1"/>
  <c r="H129" i="76"/>
  <c r="H131" i="76" s="1"/>
  <c r="G29" i="70"/>
  <c r="I12" i="78" s="1"/>
  <c r="W12" i="78" s="1"/>
  <c r="AB12" i="78" s="1"/>
  <c r="S67" i="69"/>
  <c r="I11" i="70"/>
  <c r="G11" i="70"/>
  <c r="G21" i="70" l="1"/>
  <c r="I12" i="77" s="1"/>
  <c r="W12" i="77" s="1"/>
  <c r="AB12" i="77" s="1"/>
  <c r="G32" i="70"/>
  <c r="L32" i="70" s="1"/>
  <c r="S78" i="69"/>
  <c r="X80" i="69" s="1"/>
  <c r="G14" i="70"/>
  <c r="F85" i="76" s="1"/>
  <c r="I14" i="70"/>
  <c r="H85" i="76" s="1"/>
  <c r="F94" i="76" l="1"/>
  <c r="F95" i="76" s="1"/>
  <c r="H94" i="76"/>
  <c r="H95" i="76" s="1"/>
  <c r="G94" i="76"/>
  <c r="G95" i="76" s="1"/>
  <c r="E94" i="76"/>
  <c r="G24" i="70"/>
  <c r="L24" i="70" s="1"/>
  <c r="K32" i="70"/>
  <c r="F34" i="70"/>
  <c r="K14" i="70"/>
  <c r="F16" i="70"/>
  <c r="U69" i="69"/>
  <c r="F99" i="76"/>
  <c r="F111" i="76" l="1"/>
  <c r="F109" i="76"/>
  <c r="F107" i="76"/>
  <c r="F106" i="76"/>
  <c r="F110" i="76"/>
  <c r="F108" i="76"/>
  <c r="X57" i="69"/>
  <c r="F26" i="70"/>
  <c r="K24" i="70"/>
  <c r="D82" i="69"/>
  <c r="K16" i="70" s="1"/>
  <c r="S69" i="69"/>
  <c r="X69" i="69" s="1"/>
  <c r="H99" i="76"/>
  <c r="E95" i="76"/>
  <c r="E96" i="76" s="1"/>
  <c r="H110" i="76" l="1"/>
  <c r="E117" i="76" s="1"/>
  <c r="H108" i="76"/>
  <c r="E115" i="76" s="1"/>
  <c r="H106" i="76"/>
  <c r="E113" i="76" s="1"/>
  <c r="H111" i="76"/>
  <c r="E118" i="76" s="1"/>
  <c r="H109" i="76"/>
  <c r="E116" i="76" s="1"/>
  <c r="H107" i="76"/>
  <c r="E114" i="76" s="1"/>
</calcChain>
</file>

<file path=xl/sharedStrings.xml><?xml version="1.0" encoding="utf-8"?>
<sst xmlns="http://schemas.openxmlformats.org/spreadsheetml/2006/main" count="609" uniqueCount="214">
  <si>
    <t>Materials</t>
  </si>
  <si>
    <t>Labour</t>
  </si>
  <si>
    <t>Assumptions</t>
  </si>
  <si>
    <t>Contracts</t>
  </si>
  <si>
    <t>CapEx</t>
  </si>
  <si>
    <t>Parameters</t>
  </si>
  <si>
    <t>Area Applied</t>
  </si>
  <si>
    <t>Assumption Types</t>
  </si>
  <si>
    <t>Type</t>
  </si>
  <si>
    <t>Units</t>
  </si>
  <si>
    <t>Cost ($)</t>
  </si>
  <si>
    <t>Check</t>
  </si>
  <si>
    <t>Summary</t>
  </si>
  <si>
    <t>Real Discount rate:</t>
  </si>
  <si>
    <t>Unit rate</t>
  </si>
  <si>
    <t>2021/22</t>
  </si>
  <si>
    <t>2022/23</t>
  </si>
  <si>
    <t>2023/24</t>
  </si>
  <si>
    <t>2024/25</t>
  </si>
  <si>
    <t>2025/26</t>
  </si>
  <si>
    <t>Preferred option:</t>
  </si>
  <si>
    <t>Capex/Opex</t>
  </si>
  <si>
    <t>Selected option:</t>
  </si>
  <si>
    <t>Total</t>
  </si>
  <si>
    <t>Function Code</t>
  </si>
  <si>
    <t>Service</t>
  </si>
  <si>
    <t>Total SCS</t>
  </si>
  <si>
    <t>Option 1</t>
  </si>
  <si>
    <t>Multiply by:</t>
  </si>
  <si>
    <t>To:</t>
  </si>
  <si>
    <t>Cost inputs are in:</t>
  </si>
  <si>
    <t>2020/21</t>
  </si>
  <si>
    <t>To convert from nominal:</t>
  </si>
  <si>
    <t>dollars (mid year)</t>
  </si>
  <si>
    <t>dollars (end of FY)</t>
  </si>
  <si>
    <t>Checks OK</t>
  </si>
  <si>
    <t>OpEx</t>
  </si>
  <si>
    <t>Hours</t>
  </si>
  <si>
    <t>Each</t>
  </si>
  <si>
    <t>Quantity of units</t>
  </si>
  <si>
    <t>Description</t>
  </si>
  <si>
    <t>Customer enablement</t>
  </si>
  <si>
    <t>Contact Centre AI / Speech analytics - Call Centre Integration</t>
  </si>
  <si>
    <t>Track and Trace Capability - Project Management</t>
  </si>
  <si>
    <t>Unified Customer Gateway - Project Management</t>
  </si>
  <si>
    <t>Output ($, 2020/21)</t>
  </si>
  <si>
    <t>Forecast direct capex ($'000, 2020/21)</t>
  </si>
  <si>
    <t>Summary ($, 2020/21)</t>
  </si>
  <si>
    <t>Total Cost ($, 2020/21)</t>
  </si>
  <si>
    <t>UE</t>
  </si>
  <si>
    <t>Benfit</t>
  </si>
  <si>
    <t>Spend</t>
  </si>
  <si>
    <t>NPV method</t>
  </si>
  <si>
    <t>Net cash flow</t>
  </si>
  <si>
    <t>Benefit stream</t>
  </si>
  <si>
    <t>Capex annuity (equivalised annual capex)</t>
  </si>
  <si>
    <t>Real WACC, reverse index</t>
  </si>
  <si>
    <t>Years of capex</t>
  </si>
  <si>
    <t>$'2021</t>
  </si>
  <si>
    <t>Operating efficiencies</t>
  </si>
  <si>
    <t>Total cost</t>
  </si>
  <si>
    <t>NPV</t>
  </si>
  <si>
    <t>Depreciation years</t>
  </si>
  <si>
    <t>Cost benefit analysis</t>
  </si>
  <si>
    <t xml:space="preserve">Total saving in operating expenditure </t>
  </si>
  <si>
    <t>$'2019</t>
  </si>
  <si>
    <t>number</t>
  </si>
  <si>
    <t>Reduced number of staff required to process manual requests</t>
  </si>
  <si>
    <t>minutes</t>
  </si>
  <si>
    <t>Total time saved from moving to automated application processing</t>
  </si>
  <si>
    <t>Resulting reduction in contact centre staff</t>
  </si>
  <si>
    <t>Reduction in the number of calls to the contact centre</t>
  </si>
  <si>
    <t>Average calls per contact centre staff per year</t>
  </si>
  <si>
    <t>Savings from reduced calls to the contact centre</t>
  </si>
  <si>
    <t>Operational benefits</t>
  </si>
  <si>
    <t>Total value from earlier connections</t>
  </si>
  <si>
    <t>$/kWh</t>
  </si>
  <si>
    <t>Victorian VCR</t>
  </si>
  <si>
    <t>kWh</t>
  </si>
  <si>
    <t>Average customer electricity usage per day</t>
  </si>
  <si>
    <t>days</t>
  </si>
  <si>
    <t>Number of days saved for an average connection</t>
  </si>
  <si>
    <t>Value to residential customers from shorter connection times</t>
  </si>
  <si>
    <t>Time saved from automated application</t>
  </si>
  <si>
    <t>Time saved from difference in manual or automatic application</t>
  </si>
  <si>
    <t>Number of connection requests per year</t>
  </si>
  <si>
    <t>Time spent on filling out manual applications</t>
  </si>
  <si>
    <t>eConnect customer benefits</t>
  </si>
  <si>
    <t>Average duration of a call to the general enquiries line</t>
  </si>
  <si>
    <t>Time saved from removing multiple logins and navigation</t>
  </si>
  <si>
    <t>Total time saved</t>
  </si>
  <si>
    <t>Per customer time saved</t>
  </si>
  <si>
    <t>Total number of minutes spend on the general enquiries line per customer</t>
  </si>
  <si>
    <t>Total number of minutes customers spend on the general enquiries line</t>
  </si>
  <si>
    <t>Annual number of calls to the general enquiries line</t>
  </si>
  <si>
    <t>Time spent on calls</t>
  </si>
  <si>
    <t>Average value of one minute of time for the average customer</t>
  </si>
  <si>
    <t>Value of one mintue of time for all business customers</t>
  </si>
  <si>
    <t>Average income per business</t>
  </si>
  <si>
    <t>Number of businesses in Victoria, 2017-18, ABS</t>
  </si>
  <si>
    <t>Income from sales of goods and services, ABS, Victoria, Mar 2019</t>
  </si>
  <si>
    <t>Value of time for average commercial customer</t>
  </si>
  <si>
    <t>Value of one minute of one customer's time</t>
  </si>
  <si>
    <t>$'2018</t>
  </si>
  <si>
    <t>Average wage per minute</t>
  </si>
  <si>
    <t>Average weekly earnings, Victoria, ABS, Nov 2018</t>
  </si>
  <si>
    <t>Value of time for average residential customer</t>
  </si>
  <si>
    <t>Customer time value of money and benefits</t>
  </si>
  <si>
    <t>Source</t>
  </si>
  <si>
    <t>Average customers 2021 - 2026</t>
  </si>
  <si>
    <t>Residential customers</t>
  </si>
  <si>
    <t>ave #</t>
  </si>
  <si>
    <t>Business and Commercial customers</t>
  </si>
  <si>
    <t>Total customers</t>
  </si>
  <si>
    <t>Customer time saved:</t>
  </si>
  <si>
    <t>2021-26</t>
  </si>
  <si>
    <t>Cash flow</t>
  </si>
  <si>
    <t>Time saved from difference in automated and manual appliction processing</t>
  </si>
  <si>
    <t>Reduction in calls (%)</t>
  </si>
  <si>
    <t>Savings from automated applications</t>
  </si>
  <si>
    <t>Dollars</t>
  </si>
  <si>
    <t>Non Recurrent</t>
  </si>
  <si>
    <t>Australian Bureau of Statistics - 6302 .0 - Average Weekly earnings, Australia Nov 2018</t>
  </si>
  <si>
    <t xml:space="preserve">Australian Bureau of Statistics - 8165.0 - Counts of Australian Businesses, including Entries and Exits, June 2014 to June 2018 </t>
  </si>
  <si>
    <t>Australian Bureau of Statistics - 5676.0 - Business Indicators, Australia, Mar 2019</t>
  </si>
  <si>
    <t>Mid CY</t>
  </si>
  <si>
    <t>End FY</t>
  </si>
  <si>
    <t>Average annual salary of administration staff, Hays 2019 guide</t>
  </si>
  <si>
    <t>VPN</t>
  </si>
  <si>
    <t>Time spent on accessing various portals</t>
  </si>
  <si>
    <t>Customer benefits</t>
  </si>
  <si>
    <t>Automated connections</t>
  </si>
  <si>
    <t xml:space="preserve">Automated supply requests </t>
  </si>
  <si>
    <t>Network</t>
  </si>
  <si>
    <t>ALL</t>
  </si>
  <si>
    <t>Contact Centre AI / Speech analytics</t>
  </si>
  <si>
    <t>Automated connections and supply requests - Project management</t>
  </si>
  <si>
    <t>Automated connections and supply requests - Design</t>
  </si>
  <si>
    <t>Automated connections and supply requests - Test</t>
  </si>
  <si>
    <t>Automated connections and supply requests - Build</t>
  </si>
  <si>
    <t>Automated connections and supply requests - Prepare and analyse</t>
  </si>
  <si>
    <t>Automated connections and supply requests - Deploy</t>
  </si>
  <si>
    <t>Unified Customer Gateway - Prepare and analyse</t>
  </si>
  <si>
    <t>Unified Customer Gateway - Design</t>
  </si>
  <si>
    <t>Unified Customer Gateway - Build</t>
  </si>
  <si>
    <t>Unified Customer Gateway - Deploy</t>
  </si>
  <si>
    <t>Track and Trace Capability - Prepare and analyse</t>
  </si>
  <si>
    <t>Track and Trace Capability - Design</t>
  </si>
  <si>
    <t>Track and Trace Capability - Build</t>
  </si>
  <si>
    <t>Track and Trace Capability - Deploy</t>
  </si>
  <si>
    <t>Track and Trace Capability - Test</t>
  </si>
  <si>
    <t>Unified Customer Gateway - Test</t>
  </si>
  <si>
    <t>Contact Centre AI / Speech analytics - PM and Prepare and analyse</t>
  </si>
  <si>
    <t>Contact Centre AI / Speech analytics - Design and Build</t>
  </si>
  <si>
    <t>Contact Centre AI / Speech analytics - Test and deploy</t>
  </si>
  <si>
    <t>HV Customer Management - Design</t>
  </si>
  <si>
    <t>HV Customer Management - Test</t>
  </si>
  <si>
    <t>HV Customer Management - Deploy</t>
  </si>
  <si>
    <t>HV Customer Management - PM and Prepare and analyse</t>
  </si>
  <si>
    <t>HV Customer Management - Build</t>
  </si>
  <si>
    <t xml:space="preserve">Unified Customer Gateway </t>
  </si>
  <si>
    <t xml:space="preserve">Track and Trace Capability </t>
  </si>
  <si>
    <t>Summary split by company</t>
  </si>
  <si>
    <t>Total Expenditure ($ 2020/21)</t>
  </si>
  <si>
    <t>Customer numbers split</t>
  </si>
  <si>
    <t>Powercor</t>
  </si>
  <si>
    <t>Citipower</t>
  </si>
  <si>
    <t>United Energy</t>
  </si>
  <si>
    <t>Summary split</t>
  </si>
  <si>
    <t>eConnect and mySupply for United Energy</t>
  </si>
  <si>
    <t>NPV of net economic benefit of automated connections and supply requests for United Energy</t>
  </si>
  <si>
    <t>Time saved on the website SENSITIVITY 1</t>
  </si>
  <si>
    <t>Time saved on the website SENSITIVITY 2</t>
  </si>
  <si>
    <t>Time saved on the website SENSITIVITY 3</t>
  </si>
  <si>
    <t>Time saved on the website SENSITIVITY 4</t>
  </si>
  <si>
    <t>Time saved on the website SENSITIVITY 5</t>
  </si>
  <si>
    <t>Time saved on the website SENSITIVITY 6</t>
  </si>
  <si>
    <t>Customer benefits - SENSITIVITY 1</t>
  </si>
  <si>
    <t>Customer benefits - SENSITIVITY 2</t>
  </si>
  <si>
    <t>Customer benefits - SENSITIVITY 3</t>
  </si>
  <si>
    <t>Customer benefits - SENSITIVITY 4</t>
  </si>
  <si>
    <t>Customer benefits - SENSITIVITY 5</t>
  </si>
  <si>
    <t>Customer benefits - SENSITIVITY 6</t>
  </si>
  <si>
    <t>NPV analysis</t>
  </si>
  <si>
    <t>Benefit - SENSITIVITY 1</t>
  </si>
  <si>
    <t>Benefit - SENSITIVITY 2</t>
  </si>
  <si>
    <t>Benefit - SENSITIVITY 3</t>
  </si>
  <si>
    <t>Benefit - SENSITIVITY 4</t>
  </si>
  <si>
    <t>Benefit - SENSITIVITY 5</t>
  </si>
  <si>
    <t>Benefit - SENSITIVITY 6</t>
  </si>
  <si>
    <t>Cash flow - SENSITIVITY 1</t>
  </si>
  <si>
    <t>Cash flow - SENSITIVITY 2</t>
  </si>
  <si>
    <t>Cash flow - SENSITIVITY 3</t>
  </si>
  <si>
    <t>Cash flow - SENSITIVITY 4</t>
  </si>
  <si>
    <t>Cash flow - SENSITIVITY 5</t>
  </si>
  <si>
    <t>Cash flow - SENSITIVITY 6</t>
  </si>
  <si>
    <t>NPV of net economic benefit of whole program - SENSITIVITY 1</t>
  </si>
  <si>
    <t>NPV of net economic benefit of whole program - SENSITIVITY 2</t>
  </si>
  <si>
    <t>NPV of net economic benefit of whole program - SENSITIVITY 4</t>
  </si>
  <si>
    <t>NPV of net economic benefit of whole program - SENSITIVITY 5</t>
  </si>
  <si>
    <t>NPV of net economic benefit of whole program - SENSITIVITY 6</t>
  </si>
  <si>
    <t>Subcomponent CBA - Automated connections and supply requests for United Energy</t>
  </si>
  <si>
    <t>Total CBA - updated program</t>
  </si>
  <si>
    <t>CPI index - Series A (Conversion to $June 2021)</t>
  </si>
  <si>
    <t>Subtotal</t>
  </si>
  <si>
    <t>Operating efficiency achieved % (UE)</t>
  </si>
  <si>
    <t>Operating efficiency achieved % (VPN)</t>
  </si>
  <si>
    <t>Capex, grossed-up</t>
  </si>
  <si>
    <t>Number of users SENSITIVITY 1 - current number of customers accessing portals by 2026</t>
  </si>
  <si>
    <t>Number of users SENSITIVITY 2 - 25% incease in number of customers accessing portals by 2026</t>
  </si>
  <si>
    <t>Number of users SENSITIVITY 3 - 50% incease in number of customers accessing portals by 2026</t>
  </si>
  <si>
    <t>Number of users SENSITIVITY 4 - 100% incease in number of customers accessing portals by 2026</t>
  </si>
  <si>
    <t>Number of users SENSITIVITY 5 - 1/2 of all customer accessing portals by 2026</t>
  </si>
  <si>
    <t>Number of users SENSITIVITY 6 - 2/3 of all customer accessing portals by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</si>
</sst>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;[Red]\-&quot;$&quot;#,##0;\ &quot;-&quot;"/>
    <numFmt numFmtId="167" formatCode="&quot;$&quot;#,##0.00;[Red]\-&quot;$&quot;#,##0.00;\ &quot;-&quot;"/>
    <numFmt numFmtId="168" formatCode="#,##0_ ;[Red]\-#,##0;\ &quot;-&quot;"/>
    <numFmt numFmtId="169" formatCode="#,##0_ ;[Red]\-#,##0\ "/>
    <numFmt numFmtId="170" formatCode="&quot;Convert to December&quot;\ ####"/>
    <numFmt numFmtId="171" formatCode="0.00000000000000000"/>
    <numFmt numFmtId="172" formatCode="_-&quot;$&quot;* #,##0_-;\-&quot;$&quot;* #,##0_-;_-&quot;$&quot;* &quot;-&quot;??_-;_-@_-"/>
    <numFmt numFmtId="173" formatCode="_-* #,##0_-;\-* #,##0_-;_-* &quot;-&quot;??_-;_-@_-"/>
    <numFmt numFmtId="174" formatCode="#,##0.00_ ;[Red]\-#,##0.00\ "/>
    <numFmt numFmtId="175" formatCode="0.000"/>
    <numFmt numFmtId="176" formatCode="0.0000"/>
    <numFmt numFmtId="177" formatCode="0.0%"/>
    <numFmt numFmtId="178" formatCode="_-* #,##0.000_-;\-* #,##0.000_-;_-* &quot;-&quot;??_-;_-@_-"/>
    <numFmt numFmtId="179" formatCode="_-&quot;$&quot;* #,##0.0000_-;\-&quot;$&quot;* #,##0.0000_-;_-&quot;$&quot;* &quot;-&quot;??_-;_-@_-"/>
    <numFmt numFmtId="180" formatCode="_-&quot;$&quot;* #,##0.000_-;\-&quot;$&quot;* #,##0.000_-;_-&quot;$&quot;* &quot;-&quot;?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Trebuchet MS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10"/>
      <color theme="1" tint="0.499984740745262"/>
      <name val="Calibri"/>
      <family val="2"/>
    </font>
    <font>
      <i/>
      <sz val="10"/>
      <name val="Calibri"/>
      <family val="2"/>
    </font>
    <font>
      <b/>
      <sz val="10"/>
      <color rgb="FFFFFFFF"/>
      <name val="Calibri"/>
      <family val="2"/>
      <scheme val="minor"/>
    </font>
    <font>
      <sz val="10"/>
      <name val="Calibri"/>
      <family val="2"/>
    </font>
    <font>
      <sz val="8"/>
      <color theme="0" tint="-0.499984740745262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10"/>
      <color rgb="FF0000FF"/>
      <name val="Calibri"/>
      <family val="2"/>
    </font>
    <font>
      <sz val="10"/>
      <color rgb="FF0000FF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8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sz val="10"/>
      <color rgb="FF0033CC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6E5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F2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theme="0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1">
    <xf numFmtId="0" fontId="0" fillId="0" borderId="0"/>
    <xf numFmtId="0" fontId="4" fillId="0" borderId="0"/>
    <xf numFmtId="0" fontId="3" fillId="0" borderId="0"/>
    <xf numFmtId="0" fontId="5" fillId="0" borderId="0"/>
    <xf numFmtId="0" fontId="3" fillId="0" borderId="0"/>
    <xf numFmtId="44" fontId="5" fillId="0" borderId="0" applyFont="0" applyFill="0" applyBorder="0" applyAlignment="0" applyProtection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0" fontId="3" fillId="0" borderId="0"/>
    <xf numFmtId="0" fontId="8" fillId="0" borderId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9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7" fillId="0" borderId="0" applyNumberFormat="0" applyFill="0" applyBorder="0" applyProtection="0">
      <alignment horizontal="center"/>
    </xf>
    <xf numFmtId="0" fontId="48" fillId="0" borderId="0" applyNumberFormat="0" applyFill="0" applyBorder="0" applyAlignment="0" applyProtection="0"/>
  </cellStyleXfs>
  <cellXfs count="213">
    <xf numFmtId="0" fontId="0" fillId="0" borderId="0" xfId="0"/>
    <xf numFmtId="0" fontId="12" fillId="0" borderId="0" xfId="0" applyFont="1"/>
    <xf numFmtId="0" fontId="12" fillId="0" borderId="0" xfId="0" applyFont="1" applyFill="1"/>
    <xf numFmtId="3" fontId="12" fillId="0" borderId="0" xfId="0" applyNumberFormat="1" applyFont="1"/>
    <xf numFmtId="0" fontId="12" fillId="0" borderId="0" xfId="0" applyFont="1" applyBorder="1"/>
    <xf numFmtId="0" fontId="13" fillId="0" borderId="3" xfId="0" applyFont="1" applyBorder="1"/>
    <xf numFmtId="0" fontId="13" fillId="0" borderId="0" xfId="0" applyFont="1" applyBorder="1"/>
    <xf numFmtId="166" fontId="12" fillId="0" borderId="1" xfId="0" applyNumberFormat="1" applyFont="1" applyFill="1" applyBorder="1" applyAlignment="1">
      <alignment horizontal="right" vertical="top"/>
    </xf>
    <xf numFmtId="166" fontId="12" fillId="0" borderId="0" xfId="0" applyNumberFormat="1" applyFont="1" applyFill="1" applyBorder="1" applyAlignment="1">
      <alignment horizontal="right" vertical="top"/>
    </xf>
    <xf numFmtId="0" fontId="13" fillId="0" borderId="4" xfId="0" applyFont="1" applyBorder="1"/>
    <xf numFmtId="166" fontId="13" fillId="0" borderId="4" xfId="0" applyNumberFormat="1" applyFont="1" applyFill="1" applyBorder="1" applyAlignment="1">
      <alignment horizontal="right" vertical="top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3" borderId="0" xfId="0" applyFont="1" applyFill="1"/>
    <xf numFmtId="0" fontId="14" fillId="3" borderId="0" xfId="0" applyFont="1" applyFill="1" applyAlignment="1">
      <alignment horizontal="center"/>
    </xf>
    <xf numFmtId="0" fontId="15" fillId="3" borderId="0" xfId="0" applyFont="1" applyFill="1"/>
    <xf numFmtId="0" fontId="16" fillId="3" borderId="0" xfId="0" applyFont="1" applyFill="1"/>
    <xf numFmtId="0" fontId="15" fillId="0" borderId="0" xfId="0" applyFont="1" applyFill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7" fillId="0" borderId="0" xfId="0" applyFont="1"/>
    <xf numFmtId="0" fontId="13" fillId="4" borderId="2" xfId="0" applyFont="1" applyFill="1" applyBorder="1" applyAlignment="1">
      <alignment horizontal="centerContinuous"/>
    </xf>
    <xf numFmtId="0" fontId="12" fillId="4" borderId="2" xfId="0" applyFont="1" applyFill="1" applyBorder="1" applyAlignment="1">
      <alignment horizontal="centerContinuous"/>
    </xf>
    <xf numFmtId="0" fontId="13" fillId="0" borderId="5" xfId="0" applyFont="1" applyBorder="1"/>
    <xf numFmtId="166" fontId="13" fillId="0" borderId="5" xfId="0" applyNumberFormat="1" applyFont="1" applyFill="1" applyBorder="1" applyAlignment="1">
      <alignment horizontal="right" vertical="top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166" fontId="12" fillId="0" borderId="2" xfId="0" applyNumberFormat="1" applyFont="1" applyFill="1" applyBorder="1" applyAlignment="1">
      <alignment horizontal="right" vertical="top"/>
    </xf>
    <xf numFmtId="0" fontId="13" fillId="0" borderId="0" xfId="0" applyFont="1" applyBorder="1" applyAlignment="1">
      <alignment horizontal="center"/>
    </xf>
    <xf numFmtId="0" fontId="2" fillId="0" borderId="0" xfId="13" applyFont="1" applyFill="1" applyAlignment="1">
      <alignment horizontal="left" vertical="center"/>
    </xf>
    <xf numFmtId="0" fontId="0" fillId="0" borderId="0" xfId="0" applyFill="1"/>
    <xf numFmtId="0" fontId="18" fillId="3" borderId="0" xfId="0" applyFont="1" applyFill="1"/>
    <xf numFmtId="0" fontId="19" fillId="3" borderId="0" xfId="0" applyFont="1" applyFill="1"/>
    <xf numFmtId="0" fontId="20" fillId="3" borderId="0" xfId="0" applyFont="1" applyFill="1"/>
    <xf numFmtId="0" fontId="20" fillId="3" borderId="0" xfId="0" applyFont="1" applyFill="1" applyAlignment="1">
      <alignment horizontal="center"/>
    </xf>
    <xf numFmtId="0" fontId="21" fillId="0" borderId="0" xfId="0" applyFont="1"/>
    <xf numFmtId="8" fontId="13" fillId="0" borderId="0" xfId="0" applyNumberFormat="1" applyFont="1" applyBorder="1"/>
    <xf numFmtId="0" fontId="13" fillId="0" borderId="0" xfId="0" applyFont="1" applyFill="1"/>
    <xf numFmtId="0" fontId="13" fillId="5" borderId="1" xfId="0" applyFont="1" applyFill="1" applyBorder="1"/>
    <xf numFmtId="166" fontId="12" fillId="0" borderId="0" xfId="0" applyNumberFormat="1" applyFont="1" applyFill="1"/>
    <xf numFmtId="6" fontId="12" fillId="0" borderId="2" xfId="0" applyNumberFormat="1" applyFont="1" applyFill="1" applyBorder="1" applyAlignment="1">
      <alignment horizontal="right" vertical="top"/>
    </xf>
    <xf numFmtId="0" fontId="22" fillId="3" borderId="0" xfId="0" applyFont="1" applyFill="1"/>
    <xf numFmtId="0" fontId="22" fillId="3" borderId="0" xfId="0" applyFont="1" applyFill="1" applyAlignment="1">
      <alignment horizontal="center"/>
    </xf>
    <xf numFmtId="0" fontId="23" fillId="0" borderId="0" xfId="0" applyFont="1"/>
    <xf numFmtId="0" fontId="24" fillId="3" borderId="0" xfId="0" applyFont="1" applyFill="1"/>
    <xf numFmtId="0" fontId="24" fillId="3" borderId="0" xfId="0" applyFont="1" applyFill="1" applyAlignment="1">
      <alignment horizontal="center"/>
    </xf>
    <xf numFmtId="0" fontId="25" fillId="0" borderId="0" xfId="0" applyFont="1"/>
    <xf numFmtId="0" fontId="26" fillId="6" borderId="0" xfId="14" applyFont="1" applyFill="1" applyAlignment="1" applyProtection="1"/>
    <xf numFmtId="0" fontId="26" fillId="6" borderId="0" xfId="14" applyFont="1" applyFill="1" applyProtection="1"/>
    <xf numFmtId="0" fontId="26" fillId="6" borderId="0" xfId="14" applyFont="1" applyFill="1" applyAlignment="1" applyProtection="1">
      <alignment textRotation="2"/>
    </xf>
    <xf numFmtId="0" fontId="26" fillId="6" borderId="0" xfId="14" applyFont="1" applyFill="1" applyBorder="1" applyAlignment="1" applyProtection="1">
      <alignment textRotation="2"/>
    </xf>
    <xf numFmtId="0" fontId="27" fillId="7" borderId="0" xfId="14" applyFont="1" applyFill="1" applyAlignment="1" applyProtection="1"/>
    <xf numFmtId="0" fontId="28" fillId="6" borderId="0" xfId="14" applyFont="1" applyFill="1" applyAlignment="1" applyProtection="1"/>
    <xf numFmtId="0" fontId="28" fillId="6" borderId="0" xfId="14" applyFont="1" applyFill="1" applyProtection="1"/>
    <xf numFmtId="0" fontId="28" fillId="5" borderId="0" xfId="14" applyFont="1" applyFill="1" applyAlignment="1" applyProtection="1"/>
    <xf numFmtId="0" fontId="29" fillId="6" borderId="0" xfId="14" applyFont="1" applyFill="1" applyAlignment="1" applyProtection="1">
      <alignment textRotation="2"/>
    </xf>
    <xf numFmtId="0" fontId="29" fillId="6" borderId="0" xfId="14" applyFont="1" applyFill="1" applyProtection="1"/>
    <xf numFmtId="0" fontId="29" fillId="6" borderId="0" xfId="14" applyFont="1" applyFill="1" applyBorder="1" applyAlignment="1" applyProtection="1">
      <alignment textRotation="2"/>
    </xf>
    <xf numFmtId="0" fontId="29" fillId="6" borderId="0" xfId="14" applyFont="1" applyFill="1" applyAlignment="1" applyProtection="1"/>
    <xf numFmtId="0" fontId="30" fillId="6" borderId="0" xfId="14" applyFont="1" applyFill="1" applyAlignment="1" applyProtection="1"/>
    <xf numFmtId="0" fontId="31" fillId="7" borderId="0" xfId="14" applyFont="1" applyFill="1" applyBorder="1" applyProtection="1"/>
    <xf numFmtId="0" fontId="28" fillId="7" borderId="0" xfId="14" applyFont="1" applyFill="1" applyBorder="1" applyProtection="1"/>
    <xf numFmtId="0" fontId="31" fillId="6" borderId="0" xfId="14" applyFont="1" applyFill="1" applyProtection="1"/>
    <xf numFmtId="0" fontId="13" fillId="8" borderId="0" xfId="14" applyFont="1" applyFill="1" applyBorder="1"/>
    <xf numFmtId="0" fontId="12" fillId="8" borderId="0" xfId="14" applyFont="1" applyFill="1" applyBorder="1"/>
    <xf numFmtId="0" fontId="13" fillId="8" borderId="6" xfId="14" applyNumberFormat="1" applyFont="1" applyFill="1" applyBorder="1" applyAlignment="1">
      <alignment horizontal="right"/>
    </xf>
    <xf numFmtId="0" fontId="13" fillId="8" borderId="0" xfId="14" applyNumberFormat="1" applyFont="1" applyFill="1" applyBorder="1" applyAlignment="1">
      <alignment horizontal="right"/>
    </xf>
    <xf numFmtId="0" fontId="28" fillId="8" borderId="0" xfId="14" applyFont="1" applyFill="1" applyBorder="1"/>
    <xf numFmtId="0" fontId="13" fillId="8" borderId="6" xfId="0" applyNumberFormat="1" applyFont="1" applyFill="1" applyBorder="1" applyAlignment="1">
      <alignment horizontal="right" vertical="center" wrapText="1"/>
    </xf>
    <xf numFmtId="0" fontId="13" fillId="8" borderId="0" xfId="0" applyNumberFormat="1" applyFont="1" applyFill="1" applyBorder="1" applyAlignment="1">
      <alignment horizontal="right" vertical="center" wrapText="1"/>
    </xf>
    <xf numFmtId="0" fontId="13" fillId="8" borderId="0" xfId="0" applyFont="1" applyFill="1" applyBorder="1" applyAlignment="1">
      <alignment horizontal="right" vertical="center" wrapText="1"/>
    </xf>
    <xf numFmtId="0" fontId="31" fillId="6" borderId="0" xfId="14" applyFont="1" applyFill="1" applyAlignment="1" applyProtection="1">
      <alignment horizontal="center"/>
    </xf>
    <xf numFmtId="0" fontId="31" fillId="7" borderId="0" xfId="14" applyFont="1" applyFill="1" applyBorder="1"/>
    <xf numFmtId="3" fontId="31" fillId="7" borderId="0" xfId="14" applyNumberFormat="1" applyFont="1" applyFill="1" applyBorder="1"/>
    <xf numFmtId="168" fontId="12" fillId="0" borderId="0" xfId="0" applyNumberFormat="1" applyFont="1" applyFill="1"/>
    <xf numFmtId="0" fontId="23" fillId="0" borderId="0" xfId="0" applyFont="1" applyAlignment="1">
      <alignment horizontal="center"/>
    </xf>
    <xf numFmtId="2" fontId="13" fillId="0" borderId="0" xfId="0" applyNumberFormat="1" applyFont="1" applyFill="1" applyBorder="1" applyAlignment="1">
      <alignment horizontal="right" vertical="top"/>
    </xf>
    <xf numFmtId="0" fontId="13" fillId="4" borderId="3" xfId="0" applyFont="1" applyFill="1" applyBorder="1"/>
    <xf numFmtId="0" fontId="12" fillId="4" borderId="3" xfId="0" applyFont="1" applyFill="1" applyBorder="1"/>
    <xf numFmtId="0" fontId="13" fillId="4" borderId="3" xfId="0" applyFont="1" applyFill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right"/>
    </xf>
    <xf numFmtId="0" fontId="0" fillId="0" borderId="0" xfId="0" applyFont="1"/>
    <xf numFmtId="0" fontId="33" fillId="0" borderId="0" xfId="0" applyFont="1"/>
    <xf numFmtId="171" fontId="0" fillId="0" borderId="0" xfId="0" applyNumberFormat="1" applyFont="1"/>
    <xf numFmtId="10" fontId="33" fillId="0" borderId="0" xfId="26" applyNumberFormat="1" applyFont="1"/>
    <xf numFmtId="170" fontId="34" fillId="0" borderId="0" xfId="0" applyNumberFormat="1" applyFont="1"/>
    <xf numFmtId="0" fontId="34" fillId="0" borderId="0" xfId="0" applyFont="1"/>
    <xf numFmtId="170" fontId="35" fillId="0" borderId="0" xfId="0" applyNumberFormat="1" applyFont="1"/>
    <xf numFmtId="0" fontId="36" fillId="0" borderId="0" xfId="13" applyFont="1" applyFill="1" applyAlignment="1">
      <alignment horizontal="left" vertical="center"/>
    </xf>
    <xf numFmtId="1" fontId="37" fillId="0" borderId="1" xfId="26" applyNumberFormat="1" applyFont="1" applyFill="1" applyBorder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/>
    <xf numFmtId="0" fontId="39" fillId="9" borderId="0" xfId="0" applyFont="1" applyFill="1"/>
    <xf numFmtId="0" fontId="0" fillId="0" borderId="2" xfId="0" applyBorder="1"/>
    <xf numFmtId="10" fontId="41" fillId="2" borderId="0" xfId="26" applyNumberFormat="1" applyFont="1" applyFill="1"/>
    <xf numFmtId="1" fontId="41" fillId="2" borderId="0" xfId="26" applyNumberFormat="1" applyFont="1" applyFill="1" applyAlignment="1">
      <alignment horizontal="right"/>
    </xf>
    <xf numFmtId="0" fontId="42" fillId="2" borderId="7" xfId="0" applyFont="1" applyFill="1" applyBorder="1" applyAlignment="1">
      <alignment vertical="center"/>
    </xf>
    <xf numFmtId="0" fontId="42" fillId="2" borderId="5" xfId="0" applyFont="1" applyFill="1" applyBorder="1" applyAlignment="1">
      <alignment vertical="center"/>
    </xf>
    <xf numFmtId="167" fontId="42" fillId="2" borderId="1" xfId="0" applyNumberFormat="1" applyFont="1" applyFill="1" applyBorder="1" applyAlignment="1">
      <alignment horizontal="right" vertical="top"/>
    </xf>
    <xf numFmtId="169" fontId="42" fillId="2" borderId="1" xfId="0" applyNumberFormat="1" applyFont="1" applyFill="1" applyBorder="1" applyAlignment="1">
      <alignment horizontal="right" vertical="top"/>
    </xf>
    <xf numFmtId="0" fontId="42" fillId="2" borderId="7" xfId="0" applyFont="1" applyFill="1" applyBorder="1"/>
    <xf numFmtId="171" fontId="12" fillId="0" borderId="0" xfId="0" applyNumberFormat="1" applyFont="1"/>
    <xf numFmtId="168" fontId="38" fillId="6" borderId="0" xfId="0" applyNumberFormat="1" applyFont="1" applyFill="1" applyAlignment="1">
      <alignment horizontal="left"/>
    </xf>
    <xf numFmtId="0" fontId="43" fillId="6" borderId="0" xfId="14" applyFont="1" applyFill="1" applyAlignment="1" applyProtection="1"/>
    <xf numFmtId="0" fontId="44" fillId="0" borderId="0" xfId="0" applyFont="1"/>
    <xf numFmtId="0" fontId="13" fillId="4" borderId="2" xfId="0" applyFont="1" applyFill="1" applyBorder="1" applyAlignment="1">
      <alignment horizontal="left"/>
    </xf>
    <xf numFmtId="0" fontId="13" fillId="10" borderId="0" xfId="0" applyFont="1" applyFill="1" applyBorder="1" applyAlignment="1">
      <alignment horizontal="center"/>
    </xf>
    <xf numFmtId="166" fontId="42" fillId="2" borderId="1" xfId="0" applyNumberFormat="1" applyFont="1" applyFill="1" applyBorder="1" applyAlignment="1">
      <alignment horizontal="right" vertical="top"/>
    </xf>
    <xf numFmtId="0" fontId="45" fillId="0" borderId="0" xfId="0" applyFont="1" applyFill="1"/>
    <xf numFmtId="0" fontId="46" fillId="0" borderId="0" xfId="0" applyFont="1" applyFill="1"/>
    <xf numFmtId="0" fontId="13" fillId="0" borderId="0" xfId="0" applyFont="1" applyAlignment="1">
      <alignment horizontal="center"/>
    </xf>
    <xf numFmtId="0" fontId="13" fillId="0" borderId="0" xfId="0" applyFont="1"/>
    <xf numFmtId="169" fontId="12" fillId="0" borderId="0" xfId="0" applyNumberFormat="1" applyFont="1"/>
    <xf numFmtId="172" fontId="42" fillId="2" borderId="1" xfId="28" applyNumberFormat="1" applyFont="1" applyFill="1" applyBorder="1" applyAlignment="1">
      <alignment horizontal="right" vertical="top"/>
    </xf>
    <xf numFmtId="44" fontId="12" fillId="0" borderId="0" xfId="28" applyFont="1"/>
    <xf numFmtId="172" fontId="12" fillId="0" borderId="0" xfId="28" applyNumberFormat="1" applyFont="1"/>
    <xf numFmtId="174" fontId="42" fillId="2" borderId="1" xfId="0" applyNumberFormat="1" applyFont="1" applyFill="1" applyBorder="1" applyAlignment="1">
      <alignment horizontal="right" vertical="top"/>
    </xf>
    <xf numFmtId="175" fontId="12" fillId="0" borderId="0" xfId="0" applyNumberFormat="1" applyFont="1"/>
    <xf numFmtId="0" fontId="49" fillId="0" borderId="0" xfId="0" applyFont="1"/>
    <xf numFmtId="169" fontId="13" fillId="0" borderId="0" xfId="0" applyNumberFormat="1" applyFont="1"/>
    <xf numFmtId="0" fontId="50" fillId="0" borderId="0" xfId="0" applyFont="1"/>
    <xf numFmtId="0" fontId="51" fillId="0" borderId="0" xfId="30" applyFont="1" applyFill="1"/>
    <xf numFmtId="173" fontId="13" fillId="0" borderId="0" xfId="27" applyNumberFormat="1" applyFont="1"/>
    <xf numFmtId="0" fontId="46" fillId="4" borderId="0" xfId="0" applyFont="1" applyFill="1"/>
    <xf numFmtId="0" fontId="12" fillId="4" borderId="0" xfId="0" applyFont="1" applyFill="1"/>
    <xf numFmtId="0" fontId="13" fillId="10" borderId="0" xfId="0" applyFont="1" applyFill="1" applyBorder="1" applyAlignment="1">
      <alignment horizontal="left"/>
    </xf>
    <xf numFmtId="6" fontId="12" fillId="0" borderId="0" xfId="0" applyNumberFormat="1" applyFont="1" applyAlignment="1">
      <alignment horizontal="center"/>
    </xf>
    <xf numFmtId="176" fontId="12" fillId="0" borderId="0" xfId="0" applyNumberFormat="1" applyFont="1" applyAlignment="1">
      <alignment horizontal="center"/>
    </xf>
    <xf numFmtId="6" fontId="12" fillId="0" borderId="0" xfId="0" applyNumberFormat="1" applyFont="1"/>
    <xf numFmtId="6" fontId="12" fillId="0" borderId="3" xfId="0" applyNumberFormat="1" applyFont="1" applyBorder="1" applyAlignment="1">
      <alignment horizontal="center"/>
    </xf>
    <xf numFmtId="6" fontId="12" fillId="0" borderId="0" xfId="0" applyNumberFormat="1" applyFont="1" applyFill="1" applyAlignment="1">
      <alignment horizontal="center"/>
    </xf>
    <xf numFmtId="173" fontId="42" fillId="2" borderId="1" xfId="27" applyNumberFormat="1" applyFont="1" applyFill="1" applyBorder="1" applyAlignment="1">
      <alignment horizontal="right" vertical="top"/>
    </xf>
    <xf numFmtId="8" fontId="12" fillId="0" borderId="0" xfId="0" applyNumberFormat="1" applyFont="1"/>
    <xf numFmtId="166" fontId="13" fillId="0" borderId="5" xfId="0" applyNumberFormat="1" applyFont="1" applyFill="1" applyBorder="1" applyAlignment="1">
      <alignment horizontal="left" vertical="top"/>
    </xf>
    <xf numFmtId="0" fontId="34" fillId="0" borderId="2" xfId="0" applyFont="1" applyBorder="1" applyAlignment="1">
      <alignment horizontal="left"/>
    </xf>
    <xf numFmtId="0" fontId="34" fillId="0" borderId="2" xfId="0" applyFont="1" applyBorder="1" applyAlignment="1">
      <alignment horizontal="right"/>
    </xf>
    <xf numFmtId="3" fontId="23" fillId="0" borderId="0" xfId="0" applyNumberFormat="1" applyFont="1"/>
    <xf numFmtId="0" fontId="52" fillId="11" borderId="0" xfId="14" applyFont="1" applyFill="1" applyAlignment="1" applyProtection="1">
      <alignment horizontal="center" vertical="center" textRotation="2"/>
    </xf>
    <xf numFmtId="172" fontId="12" fillId="0" borderId="0" xfId="0" applyNumberFormat="1" applyFont="1"/>
    <xf numFmtId="43" fontId="12" fillId="0" borderId="0" xfId="27" applyFont="1"/>
    <xf numFmtId="9" fontId="42" fillId="2" borderId="1" xfId="26" applyFont="1" applyFill="1" applyBorder="1" applyAlignment="1">
      <alignment horizontal="right" vertical="top"/>
    </xf>
    <xf numFmtId="0" fontId="42" fillId="2" borderId="8" xfId="0" applyFont="1" applyFill="1" applyBorder="1" applyAlignment="1">
      <alignment horizontal="center"/>
    </xf>
    <xf numFmtId="0" fontId="53" fillId="0" borderId="2" xfId="0" applyFont="1" applyBorder="1"/>
    <xf numFmtId="0" fontId="53" fillId="0" borderId="0" xfId="0" applyFont="1"/>
    <xf numFmtId="0" fontId="13" fillId="0" borderId="3" xfId="0" applyFont="1" applyBorder="1" applyAlignment="1">
      <alignment horizontal="left"/>
    </xf>
    <xf numFmtId="8" fontId="12" fillId="0" borderId="3" xfId="0" applyNumberFormat="1" applyFont="1" applyBorder="1"/>
    <xf numFmtId="173" fontId="54" fillId="2" borderId="0" xfId="27" applyNumberFormat="1" applyFont="1" applyFill="1"/>
    <xf numFmtId="0" fontId="55" fillId="0" borderId="0" xfId="0" applyFont="1"/>
    <xf numFmtId="3" fontId="55" fillId="0" borderId="0" xfId="0" applyNumberFormat="1" applyFont="1"/>
    <xf numFmtId="166" fontId="12" fillId="9" borderId="0" xfId="0" applyNumberFormat="1" applyFont="1" applyFill="1"/>
    <xf numFmtId="0" fontId="43" fillId="6" borderId="0" xfId="14" applyFont="1" applyFill="1"/>
    <xf numFmtId="1" fontId="41" fillId="2" borderId="1" xfId="26" applyNumberFormat="1" applyFont="1" applyFill="1" applyBorder="1" applyAlignment="1">
      <alignment horizontal="right"/>
    </xf>
    <xf numFmtId="0" fontId="12" fillId="12" borderId="0" xfId="0" applyFont="1" applyFill="1"/>
    <xf numFmtId="0" fontId="12" fillId="12" borderId="0" xfId="0" applyFont="1" applyFill="1" applyAlignment="1">
      <alignment horizontal="center"/>
    </xf>
    <xf numFmtId="166" fontId="12" fillId="12" borderId="0" xfId="0" applyNumberFormat="1" applyFont="1" applyFill="1"/>
    <xf numFmtId="6" fontId="12" fillId="0" borderId="0" xfId="0" applyNumberFormat="1" applyFont="1" applyBorder="1" applyAlignment="1">
      <alignment horizontal="center"/>
    </xf>
    <xf numFmtId="0" fontId="13" fillId="13" borderId="0" xfId="0" applyNumberFormat="1" applyFont="1" applyFill="1" applyBorder="1" applyAlignment="1">
      <alignment horizontal="right" vertical="center" wrapText="1"/>
    </xf>
    <xf numFmtId="0" fontId="28" fillId="14" borderId="0" xfId="14" applyFont="1" applyFill="1" applyBorder="1" applyProtection="1"/>
    <xf numFmtId="0" fontId="44" fillId="0" borderId="0" xfId="0" applyFont="1" applyFill="1"/>
    <xf numFmtId="0" fontId="13" fillId="0" borderId="5" xfId="0" applyFont="1" applyFill="1" applyBorder="1"/>
    <xf numFmtId="0" fontId="13" fillId="0" borderId="0" xfId="0" applyFont="1" applyFill="1" applyBorder="1"/>
    <xf numFmtId="3" fontId="31" fillId="14" borderId="0" xfId="14" applyNumberFormat="1" applyFont="1" applyFill="1" applyBorder="1"/>
    <xf numFmtId="10" fontId="0" fillId="0" borderId="0" xfId="0" applyNumberFormat="1"/>
    <xf numFmtId="178" fontId="41" fillId="2" borderId="0" xfId="27" applyNumberFormat="1" applyFont="1" applyFill="1"/>
    <xf numFmtId="179" fontId="12" fillId="0" borderId="0" xfId="0" applyNumberFormat="1" applyFont="1"/>
    <xf numFmtId="180" fontId="12" fillId="0" borderId="0" xfId="0" applyNumberFormat="1" applyFont="1" applyFill="1"/>
    <xf numFmtId="180" fontId="12" fillId="0" borderId="0" xfId="0" applyNumberFormat="1" applyFont="1"/>
    <xf numFmtId="179" fontId="12" fillId="0" borderId="0" xfId="28" applyNumberFormat="1" applyFont="1"/>
    <xf numFmtId="179" fontId="12" fillId="0" borderId="0" xfId="28" applyNumberFormat="1" applyFont="1" applyFill="1"/>
    <xf numFmtId="169" fontId="12" fillId="0" borderId="0" xfId="0" applyNumberFormat="1" applyFont="1" applyFill="1"/>
    <xf numFmtId="169" fontId="13" fillId="0" borderId="0" xfId="0" applyNumberFormat="1" applyFont="1" applyFill="1"/>
    <xf numFmtId="9" fontId="12" fillId="0" borderId="0" xfId="0" applyNumberFormat="1" applyFont="1"/>
    <xf numFmtId="10" fontId="12" fillId="0" borderId="0" xfId="0" applyNumberFormat="1" applyFont="1"/>
    <xf numFmtId="0" fontId="12" fillId="0" borderId="3" xfId="0" applyFont="1" applyBorder="1" applyAlignment="1">
      <alignment horizontal="left"/>
    </xf>
    <xf numFmtId="173" fontId="54" fillId="2" borderId="3" xfId="27" applyNumberFormat="1" applyFont="1" applyFill="1" applyBorder="1"/>
    <xf numFmtId="173" fontId="31" fillId="0" borderId="0" xfId="27" applyNumberFormat="1" applyFont="1" applyFill="1"/>
    <xf numFmtId="0" fontId="12" fillId="0" borderId="0" xfId="0" applyFont="1" applyFill="1" applyBorder="1" applyAlignment="1">
      <alignment horizontal="left"/>
    </xf>
    <xf numFmtId="9" fontId="31" fillId="0" borderId="0" xfId="26" applyFont="1" applyFill="1"/>
    <xf numFmtId="0" fontId="16" fillId="16" borderId="0" xfId="0" applyFont="1" applyFill="1"/>
    <xf numFmtId="0" fontId="15" fillId="16" borderId="0" xfId="0" applyFont="1" applyFill="1"/>
    <xf numFmtId="0" fontId="56" fillId="0" borderId="0" xfId="0" applyFont="1" applyFill="1"/>
    <xf numFmtId="0" fontId="13" fillId="0" borderId="4" xfId="0" applyFont="1" applyFill="1" applyBorder="1"/>
    <xf numFmtId="0" fontId="12" fillId="0" borderId="2" xfId="0" applyFont="1" applyFill="1" applyBorder="1"/>
    <xf numFmtId="168" fontId="40" fillId="17" borderId="0" xfId="0" applyNumberFormat="1" applyFont="1" applyFill="1"/>
    <xf numFmtId="168" fontId="39" fillId="17" borderId="0" xfId="0" applyNumberFormat="1" applyFont="1" applyFill="1"/>
    <xf numFmtId="0" fontId="53" fillId="0" borderId="2" xfId="0" applyFont="1" applyFill="1" applyBorder="1"/>
    <xf numFmtId="0" fontId="53" fillId="0" borderId="0" xfId="0" applyFont="1" applyFill="1"/>
    <xf numFmtId="0" fontId="13" fillId="15" borderId="0" xfId="0" applyFont="1" applyFill="1" applyBorder="1"/>
    <xf numFmtId="6" fontId="13" fillId="15" borderId="0" xfId="0" applyNumberFormat="1" applyFont="1" applyFill="1" applyBorder="1"/>
    <xf numFmtId="175" fontId="12" fillId="0" borderId="0" xfId="0" applyNumberFormat="1" applyFont="1" applyFill="1"/>
    <xf numFmtId="177" fontId="31" fillId="0" borderId="0" xfId="0" applyNumberFormat="1" applyFont="1" applyFill="1"/>
    <xf numFmtId="177" fontId="31" fillId="0" borderId="3" xfId="0" applyNumberFormat="1" applyFont="1" applyFill="1" applyBorder="1"/>
    <xf numFmtId="6" fontId="12" fillId="11" borderId="0" xfId="0" applyNumberFormat="1" applyFont="1" applyFill="1" applyAlignment="1">
      <alignment horizontal="center"/>
    </xf>
    <xf numFmtId="6" fontId="12" fillId="11" borderId="3" xfId="0" applyNumberFormat="1" applyFont="1" applyFill="1" applyBorder="1" applyAlignment="1">
      <alignment horizontal="center"/>
    </xf>
    <xf numFmtId="172" fontId="13" fillId="0" borderId="0" xfId="28" applyNumberFormat="1" applyFont="1" applyFill="1"/>
    <xf numFmtId="173" fontId="13" fillId="0" borderId="0" xfId="0" applyNumberFormat="1" applyFont="1" applyFill="1"/>
    <xf numFmtId="0" fontId="12" fillId="11" borderId="0" xfId="0" applyFont="1" applyFill="1" applyAlignment="1">
      <alignment horizontal="center"/>
    </xf>
    <xf numFmtId="6" fontId="12" fillId="11" borderId="0" xfId="0" applyNumberFormat="1" applyFont="1" applyFill="1" applyBorder="1" applyAlignment="1">
      <alignment horizontal="center"/>
    </xf>
    <xf numFmtId="169" fontId="42" fillId="11" borderId="1" xfId="0" applyNumberFormat="1" applyFont="1" applyFill="1" applyBorder="1" applyAlignment="1">
      <alignment horizontal="right" vertical="top"/>
    </xf>
    <xf numFmtId="169" fontId="31" fillId="0" borderId="0" xfId="0" applyNumberFormat="1" applyFont="1" applyFill="1" applyBorder="1" applyAlignment="1">
      <alignment horizontal="right" vertical="top"/>
    </xf>
    <xf numFmtId="2" fontId="12" fillId="0" borderId="0" xfId="0" applyNumberFormat="1" applyFont="1" applyFill="1"/>
    <xf numFmtId="169" fontId="28" fillId="0" borderId="0" xfId="0" applyNumberFormat="1" applyFont="1" applyFill="1" applyBorder="1" applyAlignment="1">
      <alignment horizontal="right" vertical="top"/>
    </xf>
    <xf numFmtId="9" fontId="42" fillId="2" borderId="1" xfId="0" applyNumberFormat="1" applyFont="1" applyFill="1" applyBorder="1" applyAlignment="1">
      <alignment horizontal="right" vertical="top"/>
    </xf>
    <xf numFmtId="6" fontId="12" fillId="0" borderId="0" xfId="0" applyNumberFormat="1" applyFont="1" applyFill="1" applyBorder="1" applyAlignment="1">
      <alignment horizontal="center"/>
    </xf>
    <xf numFmtId="6" fontId="12" fillId="0" borderId="3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76" fontId="12" fillId="0" borderId="0" xfId="0" applyNumberFormat="1" applyFont="1" applyFill="1" applyAlignment="1">
      <alignment horizontal="center"/>
    </xf>
    <xf numFmtId="173" fontId="12" fillId="0" borderId="0" xfId="27" applyNumberFormat="1" applyFont="1"/>
    <xf numFmtId="173" fontId="12" fillId="0" borderId="0" xfId="0" applyNumberFormat="1" applyFont="1"/>
    <xf numFmtId="6" fontId="13" fillId="0" borderId="0" xfId="0" quotePrefix="1" applyNumberFormat="1" applyFont="1" applyAlignment="1">
      <alignment horizontal="right"/>
    </xf>
    <xf numFmtId="0" fontId="13" fillId="0" borderId="0" xfId="0" applyFont="1" applyFill="1" applyAlignment="1">
      <alignment horizontal="center"/>
    </xf>
  </cellXfs>
  <cellStyles count="31">
    <cellStyle name="Comma" xfId="27" builtinId="3"/>
    <cellStyle name="Comma 2" xfId="11" xr:uid="{00000000-0005-0000-0000-000001000000}"/>
    <cellStyle name="Comma 3" xfId="24" xr:uid="{00000000-0005-0000-0000-000002000000}"/>
    <cellStyle name="Currency" xfId="28" builtinId="4"/>
    <cellStyle name="Currency 2" xfId="5" xr:uid="{00000000-0005-0000-0000-000004000000}"/>
    <cellStyle name="Currency 3" xfId="10" xr:uid="{00000000-0005-0000-0000-000005000000}"/>
    <cellStyle name="Currency 4" xfId="8" xr:uid="{00000000-0005-0000-0000-000006000000}"/>
    <cellStyle name="Currency 5" xfId="19" xr:uid="{00000000-0005-0000-0000-000007000000}"/>
    <cellStyle name="Currency 6" xfId="21" xr:uid="{00000000-0005-0000-0000-000008000000}"/>
    <cellStyle name="Heading" xfId="29" xr:uid="{00000000-0005-0000-0000-000009000000}"/>
    <cellStyle name="Hyperlink 2" xfId="30" xr:uid="{00000000-0005-0000-0000-00000A000000}"/>
    <cellStyle name="Normal" xfId="0" builtinId="0"/>
    <cellStyle name="Normal 2" xfId="1" xr:uid="{00000000-0005-0000-0000-00000C000000}"/>
    <cellStyle name="Normal 2 2" xfId="3" xr:uid="{00000000-0005-0000-0000-00000D000000}"/>
    <cellStyle name="Normal 2 3" xfId="4" xr:uid="{00000000-0005-0000-0000-00000E000000}"/>
    <cellStyle name="Normal 2 4" xfId="6" xr:uid="{00000000-0005-0000-0000-00000F000000}"/>
    <cellStyle name="Normal 3" xfId="2" xr:uid="{00000000-0005-0000-0000-000010000000}"/>
    <cellStyle name="Normal 3 2" xfId="14" xr:uid="{00000000-0005-0000-0000-000011000000}"/>
    <cellStyle name="Normal 3 3" xfId="22" xr:uid="{00000000-0005-0000-0000-000012000000}"/>
    <cellStyle name="Normal 3 3 2" xfId="25" xr:uid="{00000000-0005-0000-0000-000013000000}"/>
    <cellStyle name="Normal 4" xfId="7" xr:uid="{00000000-0005-0000-0000-000014000000}"/>
    <cellStyle name="Normal 5" xfId="13" xr:uid="{00000000-0005-0000-0000-000015000000}"/>
    <cellStyle name="Normal 6" xfId="15" xr:uid="{00000000-0005-0000-0000-000016000000}"/>
    <cellStyle name="Normal 7" xfId="16" xr:uid="{00000000-0005-0000-0000-000017000000}"/>
    <cellStyle name="Normal 8" xfId="17" xr:uid="{00000000-0005-0000-0000-000018000000}"/>
    <cellStyle name="Normal 9" xfId="20" xr:uid="{00000000-0005-0000-0000-000019000000}"/>
    <cellStyle name="Percent" xfId="26" builtinId="5"/>
    <cellStyle name="Percent 2" xfId="12" xr:uid="{00000000-0005-0000-0000-00001B000000}"/>
    <cellStyle name="Percent 3" xfId="9" xr:uid="{00000000-0005-0000-0000-00001C000000}"/>
    <cellStyle name="Percent 4" xfId="18" xr:uid="{00000000-0005-0000-0000-00001D000000}"/>
    <cellStyle name="Percent 5" xfId="23" xr:uid="{00000000-0005-0000-0000-00001E000000}"/>
  </cellStyles>
  <dxfs count="9">
    <dxf>
      <font>
        <b/>
        <i val="0"/>
        <color auto="1"/>
      </font>
      <numFmt numFmtId="3" formatCode="#,##0"/>
      <fill>
        <patternFill>
          <bgColor rgb="FFFF0000"/>
        </patternFill>
      </fill>
    </dxf>
    <dxf>
      <font>
        <b/>
        <i val="0"/>
        <color auto="1"/>
      </font>
      <numFmt numFmtId="3" formatCode="#,##0"/>
      <fill>
        <patternFill>
          <bgColor rgb="FFFF0000"/>
        </patternFill>
      </fill>
    </dxf>
    <dxf>
      <font>
        <b/>
        <i val="0"/>
        <color auto="1"/>
      </font>
      <numFmt numFmtId="3" formatCode="#,##0"/>
      <fill>
        <patternFill>
          <bgColor rgb="FFFF0000"/>
        </patternFill>
      </fill>
    </dxf>
    <dxf>
      <font>
        <b/>
        <i val="0"/>
        <color auto="1"/>
      </font>
      <numFmt numFmtId="3" formatCode="#,##0"/>
      <fill>
        <patternFill>
          <bgColor rgb="FFFF6600"/>
        </patternFill>
      </fill>
    </dxf>
    <dxf>
      <font>
        <b/>
        <i val="0"/>
        <color auto="1"/>
      </font>
      <numFmt numFmtId="3" formatCode="#,##0"/>
      <fill>
        <patternFill>
          <bgColor rgb="FFFF6600"/>
        </patternFill>
      </fill>
    </dxf>
    <dxf>
      <font>
        <b/>
        <i val="0"/>
        <color auto="1"/>
      </font>
      <numFmt numFmtId="3" formatCode="#,##0"/>
      <fill>
        <patternFill>
          <bgColor rgb="FFFF6600"/>
        </patternFill>
      </fill>
    </dxf>
    <dxf>
      <font>
        <b/>
        <i val="0"/>
        <color auto="1"/>
      </font>
      <numFmt numFmtId="3" formatCode="#,##0"/>
      <fill>
        <patternFill>
          <bgColor rgb="FFFF6600"/>
        </patternFill>
      </fill>
    </dxf>
    <dxf>
      <font>
        <b/>
        <i val="0"/>
        <color auto="1"/>
      </font>
      <numFmt numFmtId="3" formatCode="#,##0"/>
      <fill>
        <patternFill>
          <bgColor rgb="FFFF6600"/>
        </patternFill>
      </fill>
    </dxf>
    <dxf>
      <font>
        <b/>
        <i val="0"/>
        <color auto="1"/>
      </font>
      <numFmt numFmtId="3" formatCode="#,##0"/>
      <fill>
        <patternFill>
          <bgColor rgb="FFFF6600"/>
        </patternFill>
      </fill>
    </dxf>
  </dxfs>
  <tableStyles count="0" defaultTableStyle="TableStyleMedium2" defaultPivotStyle="PivotStyleLight16"/>
  <colors>
    <mruColors>
      <color rgb="FFFFFFCC"/>
      <color rgb="FFFFCCFF"/>
      <color rgb="FF0000FF"/>
      <color rgb="FFFF66CC"/>
      <color rgb="FFD6E5F2"/>
      <color rgb="FFEBF2F9"/>
      <color rgb="FFE5EEF7"/>
      <color rgb="FFFF6600"/>
      <color rgb="FF0033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showGridLines="0" zoomScale="80" zoomScaleNormal="80" workbookViewId="0"/>
  </sheetViews>
  <sheetFormatPr defaultColWidth="9.109375" defaultRowHeight="18" x14ac:dyDescent="0.35"/>
  <cols>
    <col min="1" max="1" width="4.33203125" style="44" customWidth="1"/>
    <col min="2" max="2" width="7.88671875" style="44" customWidth="1"/>
    <col min="3" max="3" width="15.109375" style="44" customWidth="1"/>
    <col min="4" max="4" width="17.88671875" style="44" customWidth="1"/>
    <col min="5" max="9" width="10.6640625" style="44" customWidth="1"/>
    <col min="10" max="10" width="10.6640625" style="76" customWidth="1"/>
    <col min="11" max="20" width="10.6640625" style="44" customWidth="1"/>
    <col min="21" max="21" width="4" style="44" customWidth="1"/>
    <col min="22" max="26" width="10.6640625" style="44" customWidth="1"/>
    <col min="27" max="27" width="3.109375" style="44" customWidth="1"/>
    <col min="28" max="28" width="10.6640625" style="44" customWidth="1"/>
    <col min="29" max="29" width="9.109375" style="44"/>
    <col min="30" max="30" width="14.88671875" style="44" bestFit="1" customWidth="1"/>
    <col min="31" max="16384" width="9.109375" style="44"/>
  </cols>
  <sheetData>
    <row r="1" spans="1:30" ht="21" x14ac:dyDescent="0.4">
      <c r="A1" s="17" t="str">
        <f>Assumptions!A1</f>
        <v>Customer enablement</v>
      </c>
      <c r="B1" s="42"/>
      <c r="C1" s="42"/>
      <c r="D1" s="42"/>
      <c r="E1" s="42"/>
      <c r="F1" s="42"/>
      <c r="G1" s="42"/>
      <c r="H1" s="42"/>
      <c r="I1" s="42"/>
      <c r="J1" s="43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30" x14ac:dyDescent="0.35">
      <c r="A2" s="16" t="s">
        <v>128</v>
      </c>
      <c r="B2" s="42"/>
      <c r="C2" s="42"/>
      <c r="D2" s="42"/>
      <c r="E2" s="42"/>
      <c r="F2" s="42"/>
      <c r="G2" s="42"/>
      <c r="H2" s="42"/>
      <c r="I2" s="42"/>
      <c r="J2" s="43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30" s="47" customFormat="1" x14ac:dyDescent="0.35">
      <c r="A3" s="34" t="s">
        <v>45</v>
      </c>
      <c r="B3" s="45"/>
      <c r="C3" s="45"/>
      <c r="D3" s="45"/>
      <c r="E3" s="45"/>
      <c r="F3" s="45"/>
      <c r="G3" s="45"/>
      <c r="H3" s="45"/>
      <c r="I3" s="45"/>
      <c r="J3" s="45"/>
      <c r="K3" s="46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</row>
    <row r="4" spans="1:30" ht="12.75" customHeight="1" x14ac:dyDescent="0.35">
      <c r="A4" s="48"/>
      <c r="B4" s="48"/>
      <c r="C4" s="49"/>
      <c r="D4" s="49"/>
      <c r="E4" s="50"/>
      <c r="F4" s="49"/>
      <c r="G4" s="49"/>
      <c r="H4" s="50"/>
      <c r="I4" s="50"/>
      <c r="J4" s="50"/>
      <c r="K4" s="50"/>
      <c r="L4" s="50"/>
      <c r="M4" s="51"/>
      <c r="N4" s="51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</row>
    <row r="5" spans="1:30" s="2" customFormat="1" ht="12.75" customHeight="1" x14ac:dyDescent="0.3">
      <c r="A5" s="52"/>
      <c r="B5" s="53" t="s">
        <v>22</v>
      </c>
      <c r="C5" s="54"/>
      <c r="D5" s="55" t="str">
        <f>Summary!D6</f>
        <v>Option 1</v>
      </c>
      <c r="E5" s="139" t="str">
        <f>RIGHT(D5,1)</f>
        <v>1</v>
      </c>
      <c r="F5" s="57"/>
      <c r="G5" s="57"/>
      <c r="H5" s="56"/>
      <c r="I5" s="56"/>
      <c r="J5" s="56"/>
      <c r="K5" s="56"/>
      <c r="L5" s="56"/>
      <c r="M5" s="58"/>
      <c r="N5" s="58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</row>
    <row r="6" spans="1:30" s="2" customFormat="1" ht="12.75" customHeight="1" x14ac:dyDescent="0.3">
      <c r="A6" s="52"/>
      <c r="B6" s="105" t="s">
        <v>35</v>
      </c>
      <c r="C6" s="63"/>
      <c r="D6" s="104" t="b">
        <f>'Updated program'!X3</f>
        <v>1</v>
      </c>
      <c r="E6" s="56"/>
      <c r="F6" s="57"/>
      <c r="G6" s="57"/>
      <c r="H6" s="56"/>
      <c r="I6" s="56"/>
      <c r="J6" s="56"/>
      <c r="K6" s="56"/>
      <c r="L6" s="56"/>
      <c r="M6" s="58"/>
      <c r="N6" s="58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30" s="2" customFormat="1" ht="12.75" customHeight="1" x14ac:dyDescent="0.3">
      <c r="A7" s="52"/>
      <c r="B7" s="52"/>
      <c r="C7" s="52"/>
      <c r="D7" s="52"/>
      <c r="E7" s="52"/>
      <c r="F7" s="52"/>
      <c r="G7" s="57"/>
      <c r="H7" s="56"/>
      <c r="I7" s="56"/>
      <c r="J7" s="56"/>
      <c r="K7" s="56"/>
      <c r="L7" s="56"/>
      <c r="M7" s="58"/>
      <c r="N7" s="58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30" s="2" customFormat="1" ht="12.75" customHeight="1" x14ac:dyDescent="0.3">
      <c r="A8" s="59"/>
      <c r="B8" s="60"/>
      <c r="C8" s="57"/>
      <c r="D8" s="57"/>
      <c r="E8" s="56"/>
      <c r="F8" s="57"/>
      <c r="G8" s="57"/>
      <c r="H8" s="56"/>
      <c r="I8" s="56"/>
      <c r="J8" s="56"/>
      <c r="K8" s="56"/>
      <c r="L8" s="56"/>
      <c r="M8" s="58"/>
      <c r="N8" s="58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1:30" s="2" customFormat="1" ht="12.75" customHeight="1" x14ac:dyDescent="0.3">
      <c r="A9" s="61"/>
      <c r="B9" s="62" t="s">
        <v>46</v>
      </c>
      <c r="C9" s="61"/>
      <c r="D9" s="61"/>
      <c r="E9" s="159" t="str">
        <f>A2</f>
        <v>VPN</v>
      </c>
      <c r="F9" s="61"/>
      <c r="G9" s="61"/>
      <c r="H9" s="61"/>
      <c r="I9" s="61"/>
      <c r="J9" s="61"/>
      <c r="K9" s="61"/>
      <c r="L9" s="61"/>
      <c r="M9" s="61"/>
      <c r="N9" s="61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</row>
    <row r="10" spans="1:30" s="2" customFormat="1" ht="12.75" customHeight="1" x14ac:dyDescent="0.3">
      <c r="A10" s="63"/>
      <c r="B10" s="64"/>
      <c r="C10" s="65"/>
      <c r="D10" s="65"/>
      <c r="E10" s="66"/>
      <c r="F10" s="67" t="s">
        <v>15</v>
      </c>
      <c r="G10" s="67" t="str">
        <f>F10</f>
        <v>2021/22</v>
      </c>
      <c r="H10" s="66" t="str">
        <f>G10</f>
        <v>2021/22</v>
      </c>
      <c r="I10" s="67" t="s">
        <v>16</v>
      </c>
      <c r="J10" s="67" t="str">
        <f>I10</f>
        <v>2022/23</v>
      </c>
      <c r="K10" s="66" t="str">
        <f>J10</f>
        <v>2022/23</v>
      </c>
      <c r="L10" s="67" t="s">
        <v>17</v>
      </c>
      <c r="M10" s="67" t="str">
        <f>L10</f>
        <v>2023/24</v>
      </c>
      <c r="N10" s="66" t="str">
        <f>M10</f>
        <v>2023/24</v>
      </c>
      <c r="O10" s="67" t="s">
        <v>18</v>
      </c>
      <c r="P10" s="67" t="str">
        <f>O10</f>
        <v>2024/25</v>
      </c>
      <c r="Q10" s="66" t="str">
        <f>P10</f>
        <v>2024/25</v>
      </c>
      <c r="R10" s="67" t="s">
        <v>19</v>
      </c>
      <c r="S10" s="67" t="str">
        <f>R10</f>
        <v>2025/26</v>
      </c>
      <c r="T10" s="66" t="str">
        <f>S10</f>
        <v>2025/26</v>
      </c>
      <c r="U10" s="63"/>
      <c r="V10" s="67" t="str">
        <f>F10</f>
        <v>2021/22</v>
      </c>
      <c r="W10" s="67" t="str">
        <f>I10</f>
        <v>2022/23</v>
      </c>
      <c r="X10" s="67" t="str">
        <f>L10</f>
        <v>2023/24</v>
      </c>
      <c r="Y10" s="67" t="str">
        <f>O10</f>
        <v>2024/25</v>
      </c>
      <c r="Z10" s="67" t="str">
        <f>R10</f>
        <v>2025/26</v>
      </c>
      <c r="AA10" s="63"/>
      <c r="AB10" s="67" t="s">
        <v>23</v>
      </c>
    </row>
    <row r="11" spans="1:30" s="2" customFormat="1" ht="12.75" customHeight="1" x14ac:dyDescent="0.3">
      <c r="A11" s="63"/>
      <c r="B11" s="68" t="s">
        <v>24</v>
      </c>
      <c r="C11" s="68" t="s">
        <v>25</v>
      </c>
      <c r="D11" s="68"/>
      <c r="E11" s="69"/>
      <c r="F11" s="158" t="s">
        <v>1</v>
      </c>
      <c r="G11" s="70" t="s">
        <v>0</v>
      </c>
      <c r="H11" s="69" t="s">
        <v>3</v>
      </c>
      <c r="I11" s="70" t="s">
        <v>1</v>
      </c>
      <c r="J11" s="70" t="s">
        <v>0</v>
      </c>
      <c r="K11" s="69" t="s">
        <v>3</v>
      </c>
      <c r="L11" s="70" t="s">
        <v>1</v>
      </c>
      <c r="M11" s="70" t="s">
        <v>0</v>
      </c>
      <c r="N11" s="69" t="s">
        <v>3</v>
      </c>
      <c r="O11" s="70" t="s">
        <v>1</v>
      </c>
      <c r="P11" s="70" t="s">
        <v>0</v>
      </c>
      <c r="Q11" s="69" t="s">
        <v>3</v>
      </c>
      <c r="R11" s="71" t="s">
        <v>1</v>
      </c>
      <c r="S11" s="71" t="s">
        <v>0</v>
      </c>
      <c r="T11" s="71" t="s">
        <v>3</v>
      </c>
      <c r="U11" s="63"/>
      <c r="V11" s="71"/>
      <c r="W11" s="71"/>
      <c r="X11" s="71"/>
      <c r="Y11" s="71"/>
      <c r="Z11" s="71"/>
      <c r="AA11" s="63"/>
      <c r="AB11" s="71"/>
    </row>
    <row r="12" spans="1:30" s="2" customFormat="1" ht="12.75" customHeight="1" x14ac:dyDescent="0.3">
      <c r="A12" s="63"/>
      <c r="B12" s="72">
        <v>200</v>
      </c>
      <c r="C12" s="73" t="s">
        <v>26</v>
      </c>
      <c r="D12" s="73"/>
      <c r="E12" s="73" t="s">
        <v>121</v>
      </c>
      <c r="F12" s="163">
        <f>INDEX(Summary!$F$21:$J$31,MATCH($D$5&amp;F$11&amp;$E$9,Summary!$D$21:$D$31,0),MATCH(F$10,Summary!$F$10:$J$10,0))/1000</f>
        <v>335.78404587082105</v>
      </c>
      <c r="G12" s="74">
        <f>INDEX(Summary!$F$21:$J$31,MATCH($D$5&amp;G$11&amp;$E$9,Summary!$D$21:$D$31,0),MATCH(G$10,Summary!$F$10:$J$10,0))/1000</f>
        <v>33.510044097123973</v>
      </c>
      <c r="H12" s="74">
        <f>INDEX(Summary!$F$21:$J$31,MATCH($D$5&amp;H$11&amp;$E$9,Summary!$D$21:$D$31,0),MATCH(H$10,Summary!$F$10:$J$10,0))/1000</f>
        <v>0</v>
      </c>
      <c r="I12" s="74">
        <f>INDEX(Summary!$F$21:$J$31,MATCH($D$5&amp;I$11&amp;$E$9,Summary!$D$21:$D$31,0),MATCH(I$10,Summary!$F$10:$J$10,0))/1000</f>
        <v>1462.2985704935388</v>
      </c>
      <c r="J12" s="74">
        <f>INDEX(Summary!$F$21:$J$31,MATCH($D$5&amp;J$11&amp;$E$9,Summary!$D$21:$D$31,0),MATCH(J$10,Summary!$F$10:$J$10,0))/1000</f>
        <v>67.020088194247947</v>
      </c>
      <c r="K12" s="74">
        <f>INDEX(Summary!$F$21:$J$31,MATCH($D$5&amp;K$11&amp;$E$9,Summary!$D$21:$D$31,0),MATCH(K$10,Summary!$F$10:$J$10,0))/1000</f>
        <v>0</v>
      </c>
      <c r="L12" s="74">
        <f>INDEX(Summary!$F$21:$J$31,MATCH($D$5&amp;L$11&amp;$E$9,Summary!$D$21:$D$31,0),MATCH(L$10,Summary!$F$10:$J$10,0))/1000</f>
        <v>139.22753121473067</v>
      </c>
      <c r="M12" s="74">
        <f>INDEX(Summary!$F$21:$J$31,MATCH($D$5&amp;M$11&amp;$E$9,Summary!$D$21:$D$31,0),MATCH(M$10,Summary!$F$10:$J$10,0))/1000</f>
        <v>0</v>
      </c>
      <c r="N12" s="74">
        <f>INDEX(Summary!$F$21:$J$31,MATCH($D$5&amp;N$11&amp;$E$9,Summary!$D$21:$D$31,0),MATCH(N$10,Summary!$F$10:$J$10,0))/1000</f>
        <v>0</v>
      </c>
      <c r="O12" s="74">
        <f>INDEX(Summary!$F$21:$J$31,MATCH($D$5&amp;O$11&amp;$E$9,Summary!$D$21:$D$31,0),MATCH(O$10,Summary!$F$10:$J$10,0))/1000</f>
        <v>0</v>
      </c>
      <c r="P12" s="74">
        <f>INDEX(Summary!$F$21:$J$31,MATCH($D$5&amp;P$11&amp;$E$9,Summary!$D$21:$D$31,0),MATCH(P$10,Summary!$F$10:$J$10,0))/1000</f>
        <v>0</v>
      </c>
      <c r="Q12" s="74">
        <f>INDEX(Summary!$F$21:$J$31,MATCH($D$5&amp;Q$11&amp;$E$9,Summary!$D$21:$D$31,0),MATCH(Q$10,Summary!$F$10:$J$10,0))/1000</f>
        <v>0</v>
      </c>
      <c r="R12" s="74">
        <f>INDEX(Summary!$F$21:$J$31,MATCH($D$5&amp;R$11&amp;$E$9,Summary!$D$21:$D$31,0),MATCH(R$10,Summary!$F$10:$J$10,0))/1000</f>
        <v>0</v>
      </c>
      <c r="S12" s="74">
        <f>INDEX(Summary!$F$21:$J$31,MATCH($D$5&amp;S$11&amp;$E$9,Summary!$D$21:$D$31,0),MATCH(S$10,Summary!$F$10:$J$10,0))/1000</f>
        <v>0</v>
      </c>
      <c r="T12" s="74">
        <f>INDEX(Summary!$F$21:$J$31,MATCH($D$5&amp;T$11&amp;$E$9,Summary!$D$21:$D$31,0),MATCH(T$10,Summary!$F$10:$J$10,0))/1000</f>
        <v>0</v>
      </c>
      <c r="U12" s="63"/>
      <c r="V12" s="74">
        <f>SUMIF($F$10:$T$10,V$10,$F12:$T12)</f>
        <v>369.29408996794501</v>
      </c>
      <c r="W12" s="74">
        <f>SUMIF($F$10:$T$10,W$10,$F12:$T12)</f>
        <v>1529.3186586877869</v>
      </c>
      <c r="X12" s="74">
        <f>SUMIF($F$10:$T$10,X$10,$F12:$T12)</f>
        <v>139.22753121473067</v>
      </c>
      <c r="Y12" s="74">
        <f>SUMIF($F$10:$T$10,Y$10,$F12:$T12)</f>
        <v>0</v>
      </c>
      <c r="Z12" s="74">
        <f>SUMIF($F$10:$T$10,Z$10,$F12:$T12)</f>
        <v>0</v>
      </c>
      <c r="AA12" s="63"/>
      <c r="AB12" s="74">
        <f>SUM(V12:Z12)</f>
        <v>2037.8402798704624</v>
      </c>
    </row>
    <row r="13" spans="1:30" s="2" customFormat="1" ht="12.75" customHeight="1" x14ac:dyDescent="0.3">
      <c r="A13" s="63"/>
      <c r="B13" s="72"/>
      <c r="C13" s="73"/>
      <c r="D13" s="73"/>
      <c r="E13" s="73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63"/>
      <c r="V13" s="74"/>
      <c r="W13" s="74"/>
      <c r="X13" s="74"/>
      <c r="Y13" s="74"/>
      <c r="Z13" s="74"/>
      <c r="AA13" s="63"/>
      <c r="AB13" s="74"/>
      <c r="AD13" s="75"/>
    </row>
    <row r="15" spans="1:30" x14ac:dyDescent="0.35"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</row>
  </sheetData>
  <conditionalFormatting sqref="D6">
    <cfRule type="expression" dxfId="8" priority="1">
      <formula>D6&lt;&gt;TRUE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D16"/>
  <sheetViews>
    <sheetView showGridLines="0" zoomScale="80" zoomScaleNormal="80" workbookViewId="0"/>
  </sheetViews>
  <sheetFormatPr defaultColWidth="9.109375" defaultRowHeight="18" x14ac:dyDescent="0.35"/>
  <cols>
    <col min="1" max="1" width="4.33203125" style="44" customWidth="1"/>
    <col min="2" max="2" width="7.88671875" style="44" customWidth="1"/>
    <col min="3" max="3" width="15.109375" style="44" customWidth="1"/>
    <col min="4" max="4" width="17.88671875" style="44" customWidth="1"/>
    <col min="5" max="9" width="10.6640625" style="44" customWidth="1"/>
    <col min="10" max="10" width="10.6640625" style="76" customWidth="1"/>
    <col min="11" max="20" width="10.6640625" style="44" customWidth="1"/>
    <col min="21" max="21" width="4" style="44" customWidth="1"/>
    <col min="22" max="26" width="10.6640625" style="44" customWidth="1"/>
    <col min="27" max="27" width="3.109375" style="44" customWidth="1"/>
    <col min="28" max="28" width="10.6640625" style="44" customWidth="1"/>
    <col min="29" max="29" width="9.109375" style="44"/>
    <col min="30" max="30" width="14.88671875" style="44" bestFit="1" customWidth="1"/>
    <col min="31" max="16384" width="9.109375" style="44"/>
  </cols>
  <sheetData>
    <row r="1" spans="1:30" ht="21" x14ac:dyDescent="0.4">
      <c r="A1" s="17" t="str">
        <f>Assumptions!A1</f>
        <v>Customer enablement</v>
      </c>
      <c r="B1" s="42"/>
      <c r="C1" s="42"/>
      <c r="D1" s="42"/>
      <c r="E1" s="42"/>
      <c r="F1" s="42"/>
      <c r="G1" s="42"/>
      <c r="H1" s="42"/>
      <c r="I1" s="42"/>
      <c r="J1" s="43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30" x14ac:dyDescent="0.35">
      <c r="A2" s="16" t="s">
        <v>49</v>
      </c>
      <c r="B2" s="42"/>
      <c r="C2" s="42"/>
      <c r="D2" s="42"/>
      <c r="E2" s="42"/>
      <c r="F2" s="42"/>
      <c r="G2" s="42"/>
      <c r="H2" s="42"/>
      <c r="I2" s="42"/>
      <c r="J2" s="43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30" s="47" customFormat="1" x14ac:dyDescent="0.35">
      <c r="A3" s="34" t="s">
        <v>45</v>
      </c>
      <c r="B3" s="45"/>
      <c r="C3" s="45"/>
      <c r="D3" s="45"/>
      <c r="E3" s="45"/>
      <c r="F3" s="45"/>
      <c r="G3" s="45"/>
      <c r="H3" s="45"/>
      <c r="I3" s="45"/>
      <c r="J3" s="45"/>
      <c r="K3" s="46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</row>
    <row r="4" spans="1:30" ht="12.75" customHeight="1" x14ac:dyDescent="0.35">
      <c r="A4" s="48"/>
      <c r="B4" s="48"/>
      <c r="C4" s="49"/>
      <c r="D4" s="49"/>
      <c r="E4" s="50"/>
      <c r="F4" s="49"/>
      <c r="G4" s="49"/>
      <c r="H4" s="50"/>
      <c r="I4" s="50"/>
      <c r="J4" s="50"/>
      <c r="K4" s="50"/>
      <c r="L4" s="50"/>
      <c r="M4" s="51"/>
      <c r="N4" s="51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</row>
    <row r="5" spans="1:30" s="2" customFormat="1" ht="12.75" customHeight="1" x14ac:dyDescent="0.3">
      <c r="A5" s="52"/>
      <c r="B5" s="53" t="s">
        <v>22</v>
      </c>
      <c r="C5" s="54"/>
      <c r="D5" s="55" t="str">
        <f>Summary!D6</f>
        <v>Option 1</v>
      </c>
      <c r="E5" s="139" t="str">
        <f>RIGHT(D5,1)</f>
        <v>1</v>
      </c>
      <c r="F5" s="57"/>
      <c r="G5" s="57"/>
      <c r="H5" s="56"/>
      <c r="I5" s="56"/>
      <c r="J5" s="56"/>
      <c r="K5" s="56"/>
      <c r="L5" s="56"/>
      <c r="M5" s="58"/>
      <c r="N5" s="58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</row>
    <row r="6" spans="1:30" s="2" customFormat="1" ht="12.75" customHeight="1" x14ac:dyDescent="0.3">
      <c r="A6" s="52"/>
      <c r="B6" s="105" t="s">
        <v>35</v>
      </c>
      <c r="C6" s="63"/>
      <c r="D6" s="104" t="b">
        <f>'Updated program'!X3</f>
        <v>1</v>
      </c>
      <c r="E6" s="56"/>
      <c r="F6" s="57"/>
      <c r="G6" s="57"/>
      <c r="H6" s="56"/>
      <c r="I6" s="56"/>
      <c r="J6" s="56"/>
      <c r="K6" s="56"/>
      <c r="L6" s="56"/>
      <c r="M6" s="58"/>
      <c r="N6" s="58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30" s="2" customFormat="1" ht="12.75" customHeight="1" x14ac:dyDescent="0.3">
      <c r="A7" s="52"/>
      <c r="B7" s="52"/>
      <c r="C7" s="52"/>
      <c r="D7" s="52"/>
      <c r="E7" s="52"/>
      <c r="F7" s="52"/>
      <c r="G7" s="57"/>
      <c r="H7" s="56"/>
      <c r="I7" s="56"/>
      <c r="J7" s="56"/>
      <c r="K7" s="56"/>
      <c r="L7" s="56"/>
      <c r="M7" s="58"/>
      <c r="N7" s="58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30" s="2" customFormat="1" ht="12.75" customHeight="1" x14ac:dyDescent="0.3">
      <c r="A8" s="59"/>
      <c r="B8" s="60"/>
      <c r="C8" s="57"/>
      <c r="D8" s="57"/>
      <c r="E8" s="56"/>
      <c r="F8" s="57"/>
      <c r="G8" s="57"/>
      <c r="H8" s="56"/>
      <c r="I8" s="56"/>
      <c r="J8" s="56"/>
      <c r="K8" s="56"/>
      <c r="L8" s="56"/>
      <c r="M8" s="58"/>
      <c r="N8" s="58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1:30" s="2" customFormat="1" ht="12.75" customHeight="1" x14ac:dyDescent="0.3">
      <c r="A9" s="61"/>
      <c r="B9" s="62" t="s">
        <v>46</v>
      </c>
      <c r="C9" s="61"/>
      <c r="D9" s="61"/>
      <c r="E9" s="62" t="str">
        <f>A2</f>
        <v>UE</v>
      </c>
      <c r="F9" s="61"/>
      <c r="G9" s="61"/>
      <c r="H9" s="61"/>
      <c r="I9" s="61"/>
      <c r="J9" s="61"/>
      <c r="K9" s="61"/>
      <c r="L9" s="61"/>
      <c r="M9" s="61"/>
      <c r="N9" s="61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</row>
    <row r="10" spans="1:30" s="2" customFormat="1" ht="12.75" customHeight="1" x14ac:dyDescent="0.3">
      <c r="A10" s="63"/>
      <c r="B10" s="64"/>
      <c r="C10" s="65"/>
      <c r="D10" s="65"/>
      <c r="E10" s="66"/>
      <c r="F10" s="67" t="s">
        <v>15</v>
      </c>
      <c r="G10" s="67" t="str">
        <f>F10</f>
        <v>2021/22</v>
      </c>
      <c r="H10" s="66" t="str">
        <f>G10</f>
        <v>2021/22</v>
      </c>
      <c r="I10" s="67" t="s">
        <v>16</v>
      </c>
      <c r="J10" s="67" t="str">
        <f>I10</f>
        <v>2022/23</v>
      </c>
      <c r="K10" s="66" t="str">
        <f>J10</f>
        <v>2022/23</v>
      </c>
      <c r="L10" s="67" t="s">
        <v>17</v>
      </c>
      <c r="M10" s="67" t="str">
        <f>L10</f>
        <v>2023/24</v>
      </c>
      <c r="N10" s="66" t="str">
        <f>M10</f>
        <v>2023/24</v>
      </c>
      <c r="O10" s="67" t="s">
        <v>18</v>
      </c>
      <c r="P10" s="67" t="str">
        <f>O10</f>
        <v>2024/25</v>
      </c>
      <c r="Q10" s="66" t="str">
        <f>P10</f>
        <v>2024/25</v>
      </c>
      <c r="R10" s="67" t="s">
        <v>19</v>
      </c>
      <c r="S10" s="67" t="str">
        <f>R10</f>
        <v>2025/26</v>
      </c>
      <c r="T10" s="66" t="str">
        <f>S10</f>
        <v>2025/26</v>
      </c>
      <c r="U10" s="63"/>
      <c r="V10" s="67" t="str">
        <f>F10</f>
        <v>2021/22</v>
      </c>
      <c r="W10" s="67" t="str">
        <f>I10</f>
        <v>2022/23</v>
      </c>
      <c r="X10" s="67" t="str">
        <f>L10</f>
        <v>2023/24</v>
      </c>
      <c r="Y10" s="67" t="str">
        <f>O10</f>
        <v>2024/25</v>
      </c>
      <c r="Z10" s="67" t="str">
        <f>R10</f>
        <v>2025/26</v>
      </c>
      <c r="AA10" s="63"/>
      <c r="AB10" s="67" t="s">
        <v>23</v>
      </c>
    </row>
    <row r="11" spans="1:30" s="2" customFormat="1" ht="12.75" customHeight="1" x14ac:dyDescent="0.3">
      <c r="A11" s="63"/>
      <c r="B11" s="68" t="s">
        <v>24</v>
      </c>
      <c r="C11" s="68" t="s">
        <v>25</v>
      </c>
      <c r="D11" s="68"/>
      <c r="E11" s="69"/>
      <c r="F11" s="70" t="s">
        <v>1</v>
      </c>
      <c r="G11" s="70" t="s">
        <v>0</v>
      </c>
      <c r="H11" s="69" t="s">
        <v>3</v>
      </c>
      <c r="I11" s="70" t="s">
        <v>1</v>
      </c>
      <c r="J11" s="70" t="s">
        <v>0</v>
      </c>
      <c r="K11" s="69" t="s">
        <v>3</v>
      </c>
      <c r="L11" s="70" t="s">
        <v>1</v>
      </c>
      <c r="M11" s="70" t="s">
        <v>0</v>
      </c>
      <c r="N11" s="69" t="s">
        <v>3</v>
      </c>
      <c r="O11" s="70" t="s">
        <v>1</v>
      </c>
      <c r="P11" s="70" t="s">
        <v>0</v>
      </c>
      <c r="Q11" s="69" t="s">
        <v>3</v>
      </c>
      <c r="R11" s="71" t="s">
        <v>1</v>
      </c>
      <c r="S11" s="71" t="s">
        <v>0</v>
      </c>
      <c r="T11" s="71" t="s">
        <v>3</v>
      </c>
      <c r="U11" s="63"/>
      <c r="V11" s="71"/>
      <c r="W11" s="71"/>
      <c r="X11" s="71"/>
      <c r="Y11" s="71"/>
      <c r="Z11" s="71"/>
      <c r="AA11" s="63"/>
      <c r="AB11" s="71"/>
    </row>
    <row r="12" spans="1:30" s="2" customFormat="1" ht="12.75" customHeight="1" x14ac:dyDescent="0.3">
      <c r="A12" s="63"/>
      <c r="B12" s="72">
        <v>200</v>
      </c>
      <c r="C12" s="73" t="s">
        <v>26</v>
      </c>
      <c r="D12" s="73"/>
      <c r="E12" s="73" t="s">
        <v>121</v>
      </c>
      <c r="F12" s="74">
        <f>INDEX(Summary!$F$21:$J$31,MATCH($D$5&amp;F$11&amp;$E$9,Summary!$D$21:$D$31,0),MATCH(F$10,Summary!$F$10:$J$10,0))/1000</f>
        <v>7123.0920609547829</v>
      </c>
      <c r="G12" s="74">
        <f>INDEX(Summary!$F$21:$J$31,MATCH($D$5&amp;G$11&amp;$E$9,Summary!$D$21:$D$31,0),MATCH(G$10,Summary!$F$10:$J$10,0))/1000</f>
        <v>496.38201262049745</v>
      </c>
      <c r="H12" s="74">
        <f>INDEX(Summary!$F$21:$J$31,MATCH($D$5&amp;H$11&amp;$E$9,Summary!$D$21:$D$31,0),MATCH(H$10,Summary!$F$10:$J$10,0))/1000</f>
        <v>0</v>
      </c>
      <c r="I12" s="74">
        <f>INDEX(Summary!$F$21:$J$31,MATCH($D$5&amp;I$11&amp;$E$9,Summary!$D$21:$D$31,0),MATCH(I$10,Summary!$F$10:$J$10,0))/1000</f>
        <v>850.02425071266202</v>
      </c>
      <c r="J12" s="74">
        <f>INDEX(Summary!$F$21:$J$31,MATCH($D$5&amp;J$11&amp;$E$9,Summary!$D$21:$D$31,0),MATCH(J$10,Summary!$F$10:$J$10,0))/1000</f>
        <v>38.958323149276339</v>
      </c>
      <c r="K12" s="74">
        <f>INDEX(Summary!$F$21:$J$31,MATCH($D$5&amp;K$11&amp;$E$9,Summary!$D$21:$D$31,0),MATCH(K$10,Summary!$F$10:$J$10,0))/1000</f>
        <v>0</v>
      </c>
      <c r="L12" s="74">
        <f>INDEX(Summary!$F$21:$J$31,MATCH($D$5&amp;L$11&amp;$E$9,Summary!$D$21:$D$31,0),MATCH(L$10,Summary!$F$10:$J$10,0))/1000</f>
        <v>80.932020510306671</v>
      </c>
      <c r="M12" s="74">
        <f>INDEX(Summary!$F$21:$J$31,MATCH($D$5&amp;M$11&amp;$E$9,Summary!$D$21:$D$31,0),MATCH(M$10,Summary!$F$10:$J$10,0))/1000</f>
        <v>0</v>
      </c>
      <c r="N12" s="74">
        <f>INDEX(Summary!$F$21:$J$31,MATCH($D$5&amp;N$11&amp;$E$9,Summary!$D$21:$D$31,0),MATCH(N$10,Summary!$F$10:$J$10,0))/1000</f>
        <v>0</v>
      </c>
      <c r="O12" s="74">
        <f>INDEX(Summary!$F$21:$J$31,MATCH($D$5&amp;O$11&amp;$E$9,Summary!$D$21:$D$31,0),MATCH(O$10,Summary!$F$10:$J$10,0))/1000</f>
        <v>0</v>
      </c>
      <c r="P12" s="74">
        <f>INDEX(Summary!$F$21:$J$31,MATCH($D$5&amp;P$11&amp;$E$9,Summary!$D$21:$D$31,0),MATCH(P$10,Summary!$F$10:$J$10,0))/1000</f>
        <v>0</v>
      </c>
      <c r="Q12" s="74">
        <f>INDEX(Summary!$F$21:$J$31,MATCH($D$5&amp;Q$11&amp;$E$9,Summary!$D$21:$D$31,0),MATCH(Q$10,Summary!$F$10:$J$10,0))/1000</f>
        <v>0</v>
      </c>
      <c r="R12" s="74">
        <f>INDEX(Summary!$F$21:$J$31,MATCH($D$5&amp;R$11&amp;$E$9,Summary!$D$21:$D$31,0),MATCH(R$10,Summary!$F$10:$J$10,0))/1000</f>
        <v>0</v>
      </c>
      <c r="S12" s="74">
        <f>INDEX(Summary!$F$21:$J$31,MATCH($D$5&amp;S$11&amp;$E$9,Summary!$D$21:$D$31,0),MATCH(S$10,Summary!$F$10:$J$10,0))/1000</f>
        <v>0</v>
      </c>
      <c r="T12" s="74">
        <f>INDEX(Summary!$F$21:$J$31,MATCH($D$5&amp;T$11&amp;$E$9,Summary!$D$21:$D$31,0),MATCH(T$10,Summary!$F$10:$J$10,0))/1000</f>
        <v>0</v>
      </c>
      <c r="U12" s="63"/>
      <c r="V12" s="74">
        <f>SUMIF($F$10:$T$10,V$10,$F12:$T12)</f>
        <v>7619.4740735752803</v>
      </c>
      <c r="W12" s="74">
        <f>SUMIF($F$10:$T$10,W$10,$F12:$T12)</f>
        <v>888.98257386193836</v>
      </c>
      <c r="X12" s="74">
        <f>SUMIF($F$10:$T$10,X$10,$F12:$T12)</f>
        <v>80.932020510306671</v>
      </c>
      <c r="Y12" s="74">
        <f>SUMIF($F$10:$T$10,Y$10,$F12:$T12)</f>
        <v>0</v>
      </c>
      <c r="Z12" s="74">
        <f>SUMIF($F$10:$T$10,Z$10,$F12:$T12)</f>
        <v>0</v>
      </c>
      <c r="AA12" s="63"/>
      <c r="AB12" s="74">
        <f>SUM(V12:Z12)</f>
        <v>8589.3886679475254</v>
      </c>
    </row>
    <row r="13" spans="1:30" s="2" customFormat="1" ht="12.75" customHeight="1" x14ac:dyDescent="0.3">
      <c r="A13" s="63"/>
      <c r="B13" s="72"/>
      <c r="C13" s="73"/>
      <c r="D13" s="73"/>
      <c r="E13" s="73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63"/>
      <c r="V13" s="74"/>
      <c r="W13" s="74"/>
      <c r="X13" s="74"/>
      <c r="Y13" s="74"/>
      <c r="Z13" s="74"/>
      <c r="AA13" s="63"/>
      <c r="AB13" s="74"/>
      <c r="AD13" s="75"/>
    </row>
    <row r="15" spans="1:30" x14ac:dyDescent="0.35"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</row>
    <row r="16" spans="1:30" x14ac:dyDescent="0.35">
      <c r="J16" s="44"/>
    </row>
  </sheetData>
  <conditionalFormatting sqref="D6">
    <cfRule type="expression" dxfId="7" priority="1">
      <formula>D6&lt;&gt;TRUE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34"/>
  <sheetViews>
    <sheetView showGridLines="0" tabSelected="1" zoomScale="80" zoomScaleNormal="80" workbookViewId="0"/>
  </sheetViews>
  <sheetFormatPr defaultColWidth="9.109375" defaultRowHeight="13.8" x14ac:dyDescent="0.3"/>
  <cols>
    <col min="1" max="1" width="4.33203125" style="1" customWidth="1"/>
    <col min="2" max="2" width="8.88671875" style="1" customWidth="1"/>
    <col min="3" max="3" width="15.33203125" style="1" customWidth="1"/>
    <col min="4" max="4" width="13.88671875" style="93" customWidth="1"/>
    <col min="5" max="5" width="4" style="1" customWidth="1"/>
    <col min="6" max="10" width="12.44140625" style="1" customWidth="1"/>
    <col min="11" max="11" width="13.44140625" style="1" customWidth="1"/>
    <col min="12" max="12" width="12.88671875" style="1" customWidth="1"/>
    <col min="13" max="13" width="9.109375" style="1"/>
    <col min="14" max="14" width="13.5546875" style="1" bestFit="1" customWidth="1"/>
    <col min="15" max="16384" width="9.109375" style="1"/>
  </cols>
  <sheetData>
    <row r="1" spans="1:17" ht="21" x14ac:dyDescent="0.4">
      <c r="A1" s="17" t="str">
        <f>Assumptions!A1</f>
        <v>Customer enablement</v>
      </c>
      <c r="B1" s="17"/>
      <c r="C1" s="14"/>
      <c r="D1" s="14"/>
      <c r="E1" s="14"/>
      <c r="F1" s="14"/>
      <c r="G1" s="14"/>
      <c r="H1" s="14"/>
      <c r="I1" s="14"/>
      <c r="J1" s="14"/>
    </row>
    <row r="2" spans="1:17" ht="15.6" x14ac:dyDescent="0.3">
      <c r="A2" s="16" t="str">
        <f>Assumptions!A2</f>
        <v>UE</v>
      </c>
      <c r="B2" s="16"/>
      <c r="C2" s="14"/>
      <c r="D2" s="14"/>
      <c r="E2" s="14"/>
      <c r="F2" s="14"/>
      <c r="G2" s="14"/>
      <c r="H2" s="14"/>
      <c r="I2" s="14"/>
      <c r="J2" s="14"/>
    </row>
    <row r="3" spans="1:17" s="21" customFormat="1" ht="15.6" x14ac:dyDescent="0.3">
      <c r="A3" s="34" t="s">
        <v>47</v>
      </c>
      <c r="B3" s="32"/>
      <c r="C3" s="33"/>
      <c r="D3" s="33"/>
      <c r="E3" s="33"/>
      <c r="F3" s="33"/>
      <c r="G3" s="33"/>
      <c r="H3" s="33"/>
      <c r="I3" s="33"/>
      <c r="J3" s="33"/>
      <c r="K3" s="1"/>
    </row>
    <row r="4" spans="1:17" ht="12.75" customHeight="1" x14ac:dyDescent="0.3">
      <c r="E4" s="3"/>
      <c r="O4"/>
    </row>
    <row r="5" spans="1:17" s="2" customFormat="1" ht="12.75" customHeight="1" x14ac:dyDescent="0.3">
      <c r="B5" s="18"/>
      <c r="C5" s="19"/>
      <c r="D5" s="19"/>
      <c r="E5" s="19"/>
      <c r="F5" s="19"/>
      <c r="G5" s="19"/>
      <c r="H5" s="19"/>
      <c r="I5" s="19"/>
      <c r="J5" s="19"/>
    </row>
    <row r="6" spans="1:17" ht="12.75" customHeight="1" x14ac:dyDescent="0.3">
      <c r="B6" s="113" t="s">
        <v>20</v>
      </c>
      <c r="C6" s="93"/>
      <c r="D6" s="39" t="s">
        <v>27</v>
      </c>
      <c r="E6" s="3"/>
      <c r="O6"/>
    </row>
    <row r="7" spans="1:17" ht="12.75" customHeight="1" x14ac:dyDescent="0.3">
      <c r="B7" s="152" t="s">
        <v>35</v>
      </c>
      <c r="C7" s="93"/>
      <c r="D7" s="104" t="b">
        <f>Output_UE!D6</f>
        <v>1</v>
      </c>
      <c r="E7" s="3"/>
      <c r="O7"/>
    </row>
    <row r="8" spans="1:17" ht="12.75" customHeight="1" x14ac:dyDescent="0.3">
      <c r="E8" s="3"/>
      <c r="O8"/>
    </row>
    <row r="9" spans="1:17" ht="12.75" customHeight="1" x14ac:dyDescent="0.3">
      <c r="E9" s="3"/>
      <c r="O9"/>
    </row>
    <row r="10" spans="1:17" ht="12.75" customHeight="1" x14ac:dyDescent="0.3">
      <c r="B10" s="78" t="s">
        <v>27</v>
      </c>
      <c r="C10" s="78" t="s">
        <v>8</v>
      </c>
      <c r="D10" s="78"/>
      <c r="E10" s="79"/>
      <c r="F10" s="80" t="s">
        <v>15</v>
      </c>
      <c r="G10" s="80" t="s">
        <v>16</v>
      </c>
      <c r="H10" s="80" t="s">
        <v>17</v>
      </c>
      <c r="I10" s="80" t="s">
        <v>18</v>
      </c>
      <c r="J10" s="80" t="s">
        <v>19</v>
      </c>
      <c r="O10"/>
    </row>
    <row r="11" spans="1:17" ht="12.75" customHeight="1" x14ac:dyDescent="0.3">
      <c r="C11" s="1" t="s">
        <v>1</v>
      </c>
      <c r="D11" s="106" t="str">
        <f>B10&amp;C11</f>
        <v>Option 1Labour</v>
      </c>
      <c r="E11" s="3"/>
      <c r="F11" s="8">
        <f t="shared" ref="F11:J13" ca="1" si="0">SUMIF(INDIRECT(LEFT($D11,6)&amp;MID($D11,8,1)&amp;"_categories"),$C11,INDEX(INDIRECT(LEFT($D11,6)&amp;MID($D11,8,1)&amp;"_costs"),,MATCH(F$10,years,0)))*Conv_2021</f>
        <v>7458876.1068256032</v>
      </c>
      <c r="G11" s="8">
        <f t="shared" ca="1" si="0"/>
        <v>2312322.8212062009</v>
      </c>
      <c r="H11" s="8">
        <f t="shared" ca="1" si="0"/>
        <v>220159.55172503734</v>
      </c>
      <c r="I11" s="8">
        <f t="shared" ca="1" si="0"/>
        <v>0</v>
      </c>
      <c r="J11" s="8">
        <f t="shared" ca="1" si="0"/>
        <v>0</v>
      </c>
      <c r="O11"/>
    </row>
    <row r="12" spans="1:17" ht="12.75" customHeight="1" x14ac:dyDescent="0.3">
      <c r="C12" s="1" t="s">
        <v>0</v>
      </c>
      <c r="D12" s="106" t="str">
        <f>B10&amp;C12</f>
        <v>Option 1Materials</v>
      </c>
      <c r="E12" s="3"/>
      <c r="F12" s="8">
        <f t="shared" ca="1" si="0"/>
        <v>529892.0567176214</v>
      </c>
      <c r="G12" s="8">
        <f t="shared" ca="1" si="0"/>
        <v>105978.41134352428</v>
      </c>
      <c r="H12" s="8">
        <f t="shared" ca="1" si="0"/>
        <v>0</v>
      </c>
      <c r="I12" s="8">
        <f t="shared" ca="1" si="0"/>
        <v>0</v>
      </c>
      <c r="J12" s="8">
        <f t="shared" ca="1" si="0"/>
        <v>0</v>
      </c>
      <c r="O12"/>
    </row>
    <row r="13" spans="1:17" ht="12.75" customHeight="1" x14ac:dyDescent="0.3">
      <c r="C13" s="1" t="s">
        <v>3</v>
      </c>
      <c r="D13" s="106" t="str">
        <f>B10&amp;C13</f>
        <v>Option 1Contracts</v>
      </c>
      <c r="F13" s="8">
        <f t="shared" ca="1" si="0"/>
        <v>0</v>
      </c>
      <c r="G13" s="8">
        <f t="shared" ca="1" si="0"/>
        <v>0</v>
      </c>
      <c r="H13" s="8">
        <f t="shared" ca="1" si="0"/>
        <v>0</v>
      </c>
      <c r="I13" s="8">
        <f t="shared" ca="1" si="0"/>
        <v>0</v>
      </c>
      <c r="J13" s="8">
        <f t="shared" ca="1" si="0"/>
        <v>0</v>
      </c>
    </row>
    <row r="14" spans="1:17" ht="12.75" customHeight="1" x14ac:dyDescent="0.3">
      <c r="B14" s="93"/>
      <c r="C14" s="24" t="s">
        <v>48</v>
      </c>
      <c r="D14" s="24"/>
      <c r="E14" s="24"/>
      <c r="F14" s="25">
        <f ca="1">SUM(F11:F13)</f>
        <v>7988768.1635432243</v>
      </c>
      <c r="G14" s="25">
        <f ca="1">SUM(G11:G13)</f>
        <v>2418301.2325497251</v>
      </c>
      <c r="H14" s="25">
        <f ca="1">SUM(H11:H13)</f>
        <v>220159.55172503734</v>
      </c>
      <c r="I14" s="25">
        <f ca="1">SUM(I11:I13)</f>
        <v>0</v>
      </c>
      <c r="J14" s="25">
        <f ca="1">SUM(J11:J13)</f>
        <v>0</v>
      </c>
      <c r="K14" s="151">
        <f ca="1">SUM(F14:J14)-SUM('Updated program'!R78:V78)</f>
        <v>0</v>
      </c>
      <c r="L14" s="93"/>
      <c r="M14" s="2"/>
      <c r="N14" s="2"/>
      <c r="O14" s="2"/>
      <c r="P14" s="2"/>
      <c r="Q14" s="2"/>
    </row>
    <row r="15" spans="1:17" ht="12.75" customHeight="1" x14ac:dyDescent="0.3">
      <c r="B15" s="93"/>
      <c r="C15" s="6"/>
      <c r="D15" s="6"/>
      <c r="E15" s="6"/>
      <c r="F15" s="77"/>
      <c r="G15" s="77"/>
      <c r="H15" s="77"/>
      <c r="I15" s="77"/>
      <c r="J15" s="77"/>
    </row>
    <row r="16" spans="1:17" ht="12.75" customHeight="1" x14ac:dyDescent="0.3">
      <c r="C16" s="135" t="s">
        <v>61</v>
      </c>
      <c r="D16" s="25"/>
      <c r="E16" s="25"/>
      <c r="F16" s="25">
        <f ca="1">NPV(Assumptions!$B$6,F14:J14)</f>
        <v>10268494.952519322</v>
      </c>
      <c r="G16" s="77"/>
      <c r="H16" s="77"/>
      <c r="I16" s="77"/>
      <c r="J16" s="77"/>
      <c r="K16" s="151">
        <f ca="1">F16-'Updated program'!D82</f>
        <v>0</v>
      </c>
    </row>
    <row r="17" spans="1:14" ht="12.75" customHeight="1" x14ac:dyDescent="0.3">
      <c r="C17" s="37"/>
      <c r="D17" s="37"/>
      <c r="E17" s="6"/>
      <c r="F17" s="77"/>
      <c r="G17" s="77"/>
      <c r="H17" s="77"/>
      <c r="I17" s="77"/>
      <c r="J17" s="77"/>
    </row>
    <row r="18" spans="1:14" s="93" customFormat="1" ht="12.75" customHeight="1" x14ac:dyDescent="0.3">
      <c r="A18" s="34" t="s">
        <v>168</v>
      </c>
      <c r="B18" s="32"/>
      <c r="C18" s="33"/>
      <c r="D18" s="33"/>
      <c r="E18" s="33"/>
      <c r="F18" s="33"/>
      <c r="G18" s="33"/>
      <c r="H18" s="33"/>
      <c r="I18" s="33"/>
      <c r="J18" s="33"/>
    </row>
    <row r="19" spans="1:14" s="93" customFormat="1" ht="12.75" customHeight="1" x14ac:dyDescent="0.3">
      <c r="C19" s="37"/>
      <c r="D19" s="37"/>
      <c r="E19" s="6"/>
      <c r="F19" s="77"/>
      <c r="G19" s="77"/>
      <c r="H19" s="77"/>
      <c r="I19" s="77"/>
      <c r="J19" s="77"/>
    </row>
    <row r="20" spans="1:14" ht="12.75" customHeight="1" x14ac:dyDescent="0.3">
      <c r="A20" s="93"/>
      <c r="B20" s="78" t="s">
        <v>27</v>
      </c>
      <c r="C20" s="78" t="s">
        <v>8</v>
      </c>
      <c r="D20" s="78"/>
      <c r="E20" s="79"/>
      <c r="F20" s="80" t="s">
        <v>15</v>
      </c>
      <c r="G20" s="80" t="s">
        <v>16</v>
      </c>
      <c r="H20" s="80" t="s">
        <v>17</v>
      </c>
      <c r="I20" s="80" t="s">
        <v>18</v>
      </c>
      <c r="J20" s="80" t="s">
        <v>19</v>
      </c>
      <c r="K20" s="93"/>
      <c r="L20" s="93"/>
    </row>
    <row r="21" spans="1:14" ht="12.75" customHeight="1" x14ac:dyDescent="0.3">
      <c r="A21" s="93"/>
      <c r="B21" s="93"/>
      <c r="C21" s="93" t="s">
        <v>1</v>
      </c>
      <c r="D21" s="160" t="str">
        <f>$B$20&amp;$C21&amp;$E21</f>
        <v>Option 1LabourUE</v>
      </c>
      <c r="E21" s="3" t="s">
        <v>49</v>
      </c>
      <c r="F21" s="8">
        <f>INDEX('Updated program'!R$72:R$77,MATCH($C21&amp;$E21,'Updated program'!$I$72:$I$77,0))</f>
        <v>7123092.0609547831</v>
      </c>
      <c r="G21" s="8">
        <f>INDEX('Updated program'!S$72:S$77,MATCH($C21&amp;$E21,'Updated program'!$I$72:$I$77,0))</f>
        <v>850024.250712662</v>
      </c>
      <c r="H21" s="8">
        <f>INDEX('Updated program'!T$72:T$77,MATCH($C21&amp;$E21,'Updated program'!$I$72:$I$77,0))</f>
        <v>80932.020510306669</v>
      </c>
      <c r="I21" s="8">
        <f>INDEX('Updated program'!U$72:U$77,MATCH($C21&amp;$E21,'Updated program'!$I$72:$I$77,0))</f>
        <v>0</v>
      </c>
      <c r="J21" s="8">
        <f>INDEX('Updated program'!V$72:V$77,MATCH($C21&amp;$E21,'Updated program'!$I$72:$I$77,0))</f>
        <v>0</v>
      </c>
      <c r="K21" s="93"/>
      <c r="L21" s="93"/>
    </row>
    <row r="22" spans="1:14" ht="12.75" customHeight="1" x14ac:dyDescent="0.3">
      <c r="A22" s="93"/>
      <c r="B22" s="93"/>
      <c r="C22" s="93" t="s">
        <v>0</v>
      </c>
      <c r="D22" s="160" t="str">
        <f t="shared" ref="D22:D23" si="1">$B$20&amp;$C22&amp;$E22</f>
        <v>Option 1MaterialsUE</v>
      </c>
      <c r="E22" s="3" t="s">
        <v>49</v>
      </c>
      <c r="F22" s="8">
        <f>INDEX('Updated program'!R$72:R$77,MATCH($C22&amp;$E22,'Updated program'!$I$72:$I$77,0))</f>
        <v>496382.01262049744</v>
      </c>
      <c r="G22" s="8">
        <f>INDEX('Updated program'!S$72:S$77,MATCH($C22&amp;$E22,'Updated program'!$I$72:$I$77,0))</f>
        <v>38958.323149276337</v>
      </c>
      <c r="H22" s="8">
        <f>INDEX('Updated program'!T$72:T$77,MATCH($C22&amp;$E22,'Updated program'!$I$72:$I$77,0))</f>
        <v>0</v>
      </c>
      <c r="I22" s="8">
        <f>INDEX('Updated program'!U$72:U$77,MATCH($C22&amp;$E22,'Updated program'!$I$72:$I$77,0))</f>
        <v>0</v>
      </c>
      <c r="J22" s="8">
        <f>INDEX('Updated program'!V$72:V$77,MATCH($C22&amp;$E22,'Updated program'!$I$72:$I$77,0))</f>
        <v>0</v>
      </c>
      <c r="K22" s="93"/>
      <c r="L22" s="93"/>
    </row>
    <row r="23" spans="1:14" x14ac:dyDescent="0.3">
      <c r="A23" s="93"/>
      <c r="B23" s="93"/>
      <c r="C23" s="93" t="s">
        <v>3</v>
      </c>
      <c r="D23" s="160" t="str">
        <f t="shared" si="1"/>
        <v>Option 1ContractsUE</v>
      </c>
      <c r="E23" s="3" t="s">
        <v>49</v>
      </c>
      <c r="F23" s="8">
        <f>INDEX('Updated program'!R$72:R$77,MATCH($C23&amp;$E23,'Updated program'!$I$72:$I$77,0))</f>
        <v>0</v>
      </c>
      <c r="G23" s="8">
        <f>INDEX('Updated program'!S$72:S$77,MATCH($C23&amp;$E23,'Updated program'!$I$72:$I$77,0))</f>
        <v>0</v>
      </c>
      <c r="H23" s="8">
        <f>INDEX('Updated program'!T$72:T$77,MATCH($C23&amp;$E23,'Updated program'!$I$72:$I$77,0))</f>
        <v>0</v>
      </c>
      <c r="I23" s="8">
        <f>INDEX('Updated program'!U$72:U$77,MATCH($C23&amp;$E23,'Updated program'!$I$72:$I$77,0))</f>
        <v>0</v>
      </c>
      <c r="J23" s="8">
        <f>INDEX('Updated program'!V$72:V$77,MATCH($C23&amp;$E23,'Updated program'!$I$72:$I$77,0))</f>
        <v>0</v>
      </c>
      <c r="K23" s="93"/>
      <c r="L23" s="93"/>
    </row>
    <row r="24" spans="1:14" x14ac:dyDescent="0.3">
      <c r="A24" s="93"/>
      <c r="B24" s="93"/>
      <c r="C24" s="24" t="s">
        <v>48</v>
      </c>
      <c r="D24" s="161"/>
      <c r="E24" s="24"/>
      <c r="F24" s="25">
        <f>SUM(F21:F23)</f>
        <v>7619474.0735752806</v>
      </c>
      <c r="G24" s="25">
        <f>SUM(G21:G23)</f>
        <v>888982.57386193832</v>
      </c>
      <c r="H24" s="25">
        <f>SUM(H21:H23)</f>
        <v>80932.020510306669</v>
      </c>
      <c r="I24" s="25">
        <f>SUM(I21:I23)</f>
        <v>0</v>
      </c>
      <c r="J24" s="25">
        <f>SUM(J21:J23)</f>
        <v>0</v>
      </c>
      <c r="K24" s="151">
        <f>SUM(F24:J24)-SUM('Updated program'!R75:V77)</f>
        <v>0</v>
      </c>
      <c r="L24" s="151">
        <f>SUM(F24:J24)-Output_UE!AB12*1000</f>
        <v>0</v>
      </c>
    </row>
    <row r="25" spans="1:14" x14ac:dyDescent="0.3">
      <c r="A25" s="93"/>
      <c r="B25" s="93"/>
      <c r="C25" s="6"/>
      <c r="D25" s="162"/>
      <c r="E25" s="6"/>
      <c r="F25" s="77"/>
      <c r="G25" s="77"/>
      <c r="H25" s="77"/>
      <c r="I25" s="77"/>
      <c r="J25" s="77"/>
      <c r="K25" s="93"/>
      <c r="L25" s="93"/>
    </row>
    <row r="26" spans="1:14" x14ac:dyDescent="0.3">
      <c r="A26" s="93"/>
      <c r="B26" s="93"/>
      <c r="C26" s="135" t="s">
        <v>61</v>
      </c>
      <c r="D26" s="25"/>
      <c r="E26" s="25"/>
      <c r="F26" s="25">
        <f>NPV(Assumptions!$B$6,F24:J24)</f>
        <v>8332186.6587685999</v>
      </c>
      <c r="G26" s="77"/>
      <c r="H26" s="77"/>
      <c r="I26" s="77"/>
      <c r="J26" s="77"/>
      <c r="K26" s="93"/>
      <c r="L26" s="93"/>
    </row>
    <row r="27" spans="1:14" x14ac:dyDescent="0.3">
      <c r="A27" s="93"/>
      <c r="B27" s="93"/>
      <c r="C27" s="93"/>
      <c r="D27" s="2"/>
      <c r="E27" s="93"/>
      <c r="F27" s="2"/>
      <c r="G27" s="2"/>
      <c r="H27" s="2"/>
      <c r="I27" s="2"/>
      <c r="J27" s="2"/>
      <c r="K27" s="93"/>
      <c r="L27" s="93"/>
    </row>
    <row r="28" spans="1:14" x14ac:dyDescent="0.3">
      <c r="A28" s="93"/>
      <c r="B28" s="78" t="s">
        <v>27</v>
      </c>
      <c r="C28" s="78" t="s">
        <v>8</v>
      </c>
      <c r="D28" s="78"/>
      <c r="E28" s="79"/>
      <c r="F28" s="80" t="s">
        <v>15</v>
      </c>
      <c r="G28" s="80" t="s">
        <v>16</v>
      </c>
      <c r="H28" s="80" t="s">
        <v>17</v>
      </c>
      <c r="I28" s="80" t="s">
        <v>18</v>
      </c>
      <c r="J28" s="80" t="s">
        <v>19</v>
      </c>
      <c r="K28" s="93"/>
      <c r="L28" s="93"/>
    </row>
    <row r="29" spans="1:14" x14ac:dyDescent="0.3">
      <c r="B29" s="93"/>
      <c r="C29" s="93" t="s">
        <v>1</v>
      </c>
      <c r="D29" s="160" t="str">
        <f>$B$28&amp;$C29&amp;$E29</f>
        <v>Option 1LabourVPN</v>
      </c>
      <c r="E29" s="3" t="s">
        <v>128</v>
      </c>
      <c r="F29" s="8">
        <f>INDEX('Updated program'!R$72:R$77,MATCH($C29&amp;$E29,'Updated program'!$I$72:$I$77,0))</f>
        <v>335784.04587082105</v>
      </c>
      <c r="G29" s="8">
        <f>INDEX('Updated program'!S$72:S$77,MATCH($C29&amp;$E29,'Updated program'!$I$72:$I$77,0))</f>
        <v>1462298.5704935389</v>
      </c>
      <c r="H29" s="8">
        <f>INDEX('Updated program'!T$72:T$77,MATCH($C29&amp;$E29,'Updated program'!$I$72:$I$77,0))</f>
        <v>139227.53121473067</v>
      </c>
      <c r="I29" s="8">
        <f>INDEX('Updated program'!U$72:U$77,MATCH($C29&amp;$E29,'Updated program'!$I$72:$I$77,0))</f>
        <v>0</v>
      </c>
      <c r="J29" s="8">
        <f>INDEX('Updated program'!V$72:V$77,MATCH($C29&amp;$E29,'Updated program'!$I$72:$I$77,0))</f>
        <v>0</v>
      </c>
    </row>
    <row r="30" spans="1:14" x14ac:dyDescent="0.3">
      <c r="B30" s="93"/>
      <c r="C30" s="93" t="s">
        <v>0</v>
      </c>
      <c r="D30" s="160" t="str">
        <f t="shared" ref="D30:D31" si="2">$B$28&amp;$C30&amp;$E30</f>
        <v>Option 1MaterialsVPN</v>
      </c>
      <c r="E30" s="3" t="s">
        <v>128</v>
      </c>
      <c r="F30" s="8">
        <f>INDEX('Updated program'!R$72:R$77,MATCH($C30&amp;$E30,'Updated program'!$I$72:$I$77,0))</f>
        <v>33510.044097123973</v>
      </c>
      <c r="G30" s="8">
        <f>INDEX('Updated program'!S$72:S$77,MATCH($C30&amp;$E30,'Updated program'!$I$72:$I$77,0))</f>
        <v>67020.088194247946</v>
      </c>
      <c r="H30" s="8">
        <f>INDEX('Updated program'!T$72:T$77,MATCH($C30&amp;$E30,'Updated program'!$I$72:$I$77,0))</f>
        <v>0</v>
      </c>
      <c r="I30" s="8">
        <f>INDEX('Updated program'!U$72:U$77,MATCH($C30&amp;$E30,'Updated program'!$I$72:$I$77,0))</f>
        <v>0</v>
      </c>
      <c r="J30" s="8">
        <f>INDEX('Updated program'!V$72:V$77,MATCH($C30&amp;$E30,'Updated program'!$I$72:$I$77,0))</f>
        <v>0</v>
      </c>
      <c r="N30" s="141"/>
    </row>
    <row r="31" spans="1:14" x14ac:dyDescent="0.3">
      <c r="B31" s="93"/>
      <c r="C31" s="93" t="s">
        <v>3</v>
      </c>
      <c r="D31" s="160" t="str">
        <f t="shared" si="2"/>
        <v>Option 1ContractsVPN</v>
      </c>
      <c r="E31" s="3" t="s">
        <v>128</v>
      </c>
      <c r="F31" s="8">
        <f>INDEX('Updated program'!R$72:R$77,MATCH($C31&amp;$E31,'Updated program'!$I$72:$I$77,0))</f>
        <v>0</v>
      </c>
      <c r="G31" s="8">
        <f>INDEX('Updated program'!S$72:S$77,MATCH($C31&amp;$E31,'Updated program'!$I$72:$I$77,0))</f>
        <v>0</v>
      </c>
      <c r="H31" s="8">
        <f>INDEX('Updated program'!T$72:T$77,MATCH($C31&amp;$E31,'Updated program'!$I$72:$I$77,0))</f>
        <v>0</v>
      </c>
      <c r="I31" s="8">
        <f>INDEX('Updated program'!U$72:U$77,MATCH($C31&amp;$E31,'Updated program'!$I$72:$I$77,0))</f>
        <v>0</v>
      </c>
      <c r="J31" s="8">
        <f>INDEX('Updated program'!V$72:V$77,MATCH($C31&amp;$E31,'Updated program'!$I$72:$I$77,0))</f>
        <v>0</v>
      </c>
    </row>
    <row r="32" spans="1:14" x14ac:dyDescent="0.3">
      <c r="B32" s="93"/>
      <c r="C32" s="24" t="s">
        <v>48</v>
      </c>
      <c r="D32" s="24"/>
      <c r="E32" s="24"/>
      <c r="F32" s="25">
        <f>SUM(F29:F31)</f>
        <v>369294.08996794501</v>
      </c>
      <c r="G32" s="25">
        <f>SUM(G29:G31)</f>
        <v>1529318.6586877869</v>
      </c>
      <c r="H32" s="25">
        <f>SUM(H29:H31)</f>
        <v>139227.53121473067</v>
      </c>
      <c r="I32" s="25">
        <f>SUM(I29:I31)</f>
        <v>0</v>
      </c>
      <c r="J32" s="25">
        <f>SUM(J29:J31)</f>
        <v>0</v>
      </c>
      <c r="K32" s="151">
        <f>SUM(F32:J32)-SUM('Updated program'!R72:V74)</f>
        <v>0</v>
      </c>
      <c r="L32" s="151">
        <f>SUM(F32:J32)-Output_VPN!AB12*1000</f>
        <v>0</v>
      </c>
    </row>
    <row r="33" spans="2:10" x14ac:dyDescent="0.3">
      <c r="B33" s="93"/>
      <c r="C33" s="6"/>
      <c r="D33" s="6"/>
      <c r="E33" s="6"/>
      <c r="F33" s="77"/>
      <c r="G33" s="77"/>
      <c r="H33" s="77"/>
      <c r="I33" s="77"/>
      <c r="J33" s="77"/>
    </row>
    <row r="34" spans="2:10" x14ac:dyDescent="0.3">
      <c r="B34" s="93"/>
      <c r="C34" s="135" t="s">
        <v>61</v>
      </c>
      <c r="D34" s="25"/>
      <c r="E34" s="25"/>
      <c r="F34" s="25">
        <f>NPV(Assumptions!$B$6,F32:J32)</f>
        <v>1936308.2937507234</v>
      </c>
      <c r="G34" s="77"/>
      <c r="H34" s="77"/>
      <c r="I34" s="77"/>
      <c r="J34" s="77"/>
    </row>
  </sheetData>
  <conditionalFormatting sqref="D7">
    <cfRule type="expression" dxfId="6" priority="1">
      <formula>D7&lt;&gt;TRUE</formula>
    </cfRule>
  </conditionalFormatting>
  <dataValidations count="1">
    <dataValidation type="list" allowBlank="1" showInputMessage="1" showErrorMessage="1" sqref="D6" xr:uid="{00000000-0002-0000-0200-000000000000}">
      <formula1>"Option 1"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theme="0" tint="-0.499984740745262"/>
    <outlinePr summaryBelow="0" summaryRight="0"/>
  </sheetPr>
  <dimension ref="A1:AI102"/>
  <sheetViews>
    <sheetView showGridLines="0" zoomScale="80" zoomScaleNormal="80" workbookViewId="0"/>
  </sheetViews>
  <sheetFormatPr defaultColWidth="14.44140625" defaultRowHeight="15" customHeight="1" x14ac:dyDescent="0.3"/>
  <cols>
    <col min="1" max="1" width="21.5546875" customWidth="1"/>
    <col min="2" max="2" width="13.88671875" customWidth="1"/>
    <col min="4" max="4" width="13.44140625" customWidth="1"/>
    <col min="5" max="5" width="14.44140625" customWidth="1"/>
  </cols>
  <sheetData>
    <row r="1" spans="1:35" ht="21" x14ac:dyDescent="0.4">
      <c r="A1" s="17" t="s">
        <v>41</v>
      </c>
      <c r="B1" s="17"/>
      <c r="C1" s="17"/>
      <c r="D1" s="17"/>
      <c r="E1" s="17"/>
      <c r="F1" s="17"/>
      <c r="G1" s="17"/>
      <c r="H1" s="17"/>
      <c r="I1" s="17"/>
      <c r="J1" s="17"/>
    </row>
    <row r="2" spans="1:35" ht="15.6" x14ac:dyDescent="0.3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</row>
    <row r="3" spans="1:35" s="21" customFormat="1" ht="12.75" customHeight="1" x14ac:dyDescent="0.3">
      <c r="A3" s="34" t="s">
        <v>2</v>
      </c>
      <c r="B3" s="32"/>
      <c r="C3" s="32"/>
      <c r="D3" s="32"/>
      <c r="E3" s="32"/>
      <c r="F3" s="32"/>
      <c r="G3" s="32"/>
      <c r="H3" s="32"/>
      <c r="I3" s="32"/>
      <c r="J3" s="32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5" s="31" customFormat="1" ht="12.75" customHeight="1" x14ac:dyDescent="0.3">
      <c r="A4" s="30" t="s">
        <v>7</v>
      </c>
      <c r="B4" s="90" t="s">
        <v>2</v>
      </c>
      <c r="C4" s="30" t="s">
        <v>5</v>
      </c>
      <c r="D4" s="30" t="s">
        <v>6</v>
      </c>
    </row>
    <row r="5" spans="1:35" s="31" customFormat="1" ht="12.75" customHeight="1" x14ac:dyDescent="0.3">
      <c r="A5" s="30"/>
      <c r="B5" s="90"/>
      <c r="C5" s="30"/>
      <c r="D5" s="30"/>
    </row>
    <row r="6" spans="1:35" s="31" customFormat="1" ht="12.75" customHeight="1" x14ac:dyDescent="0.3">
      <c r="A6" s="2" t="s">
        <v>13</v>
      </c>
      <c r="B6" s="96">
        <v>2.75E-2</v>
      </c>
      <c r="C6" s="2"/>
      <c r="D6" s="30"/>
    </row>
    <row r="7" spans="1:35" s="31" customFormat="1" ht="12.75" customHeight="1" x14ac:dyDescent="0.3">
      <c r="A7" s="30"/>
      <c r="B7" s="90"/>
      <c r="C7" s="30"/>
      <c r="D7" s="30"/>
    </row>
    <row r="8" spans="1:35" s="31" customFormat="1" ht="12.75" customHeight="1" x14ac:dyDescent="0.3">
      <c r="A8" s="92" t="s">
        <v>30</v>
      </c>
      <c r="B8" s="97">
        <v>2018</v>
      </c>
      <c r="C8" t="s">
        <v>33</v>
      </c>
      <c r="D8" s="30"/>
    </row>
    <row r="9" spans="1:35" s="31" customFormat="1" ht="12.75" customHeight="1" x14ac:dyDescent="0.3">
      <c r="A9" s="92"/>
      <c r="B9" s="92"/>
      <c r="C9" s="92"/>
      <c r="D9" s="92"/>
      <c r="E9" s="92"/>
    </row>
    <row r="10" spans="1:35" ht="12.75" customHeight="1" x14ac:dyDescent="0.3">
      <c r="A10" s="81"/>
      <c r="B10" s="81"/>
      <c r="C10" s="81"/>
      <c r="D10" s="81">
        <v>2015</v>
      </c>
      <c r="E10" s="81">
        <v>2016</v>
      </c>
      <c r="F10" s="81">
        <v>2017</v>
      </c>
      <c r="G10" s="81">
        <v>2018</v>
      </c>
      <c r="H10" s="81">
        <v>2019</v>
      </c>
      <c r="I10" s="82">
        <v>2020</v>
      </c>
      <c r="J10" s="82" t="s">
        <v>31</v>
      </c>
    </row>
    <row r="11" spans="1:35" ht="12.75" customHeight="1" x14ac:dyDescent="0.3">
      <c r="A11" s="136" t="s">
        <v>120</v>
      </c>
      <c r="B11" s="26"/>
      <c r="C11" s="95"/>
      <c r="D11" s="137" t="s">
        <v>125</v>
      </c>
      <c r="E11" s="137" t="s">
        <v>125</v>
      </c>
      <c r="F11" s="137" t="s">
        <v>125</v>
      </c>
      <c r="G11" s="137" t="s">
        <v>125</v>
      </c>
      <c r="H11" s="137" t="s">
        <v>125</v>
      </c>
      <c r="I11" s="137" t="s">
        <v>125</v>
      </c>
      <c r="J11" s="137" t="s">
        <v>126</v>
      </c>
    </row>
    <row r="12" spans="1:35" ht="12.75" customHeight="1" x14ac:dyDescent="0.3">
      <c r="A12" s="89" t="s">
        <v>203</v>
      </c>
      <c r="B12" s="87"/>
      <c r="C12" s="87"/>
      <c r="D12" s="165">
        <v>1.1098500661870201</v>
      </c>
      <c r="E12" s="165">
        <v>1.0890652879202174</v>
      </c>
      <c r="F12" s="165">
        <v>1.0754419752841584</v>
      </c>
      <c r="G12" s="165">
        <v>1.0597841134352428</v>
      </c>
      <c r="H12" s="165">
        <v>1.0389462882960341</v>
      </c>
      <c r="I12" s="165">
        <v>1.0202250019521406</v>
      </c>
      <c r="J12" s="165">
        <v>1</v>
      </c>
    </row>
    <row r="13" spans="1:35" ht="12.75" customHeight="1" x14ac:dyDescent="0.3">
      <c r="A13" s="87"/>
      <c r="B13" s="87"/>
      <c r="C13" s="87"/>
      <c r="D13" s="88"/>
      <c r="E13" s="88"/>
      <c r="F13" s="88"/>
      <c r="G13" s="88"/>
      <c r="H13" s="88"/>
    </row>
    <row r="14" spans="1:35" ht="12.75" customHeight="1" x14ac:dyDescent="0.3">
      <c r="A14" s="92" t="s">
        <v>32</v>
      </c>
      <c r="B14" s="91">
        <v>2018</v>
      </c>
      <c r="C14" s="93" t="s">
        <v>33</v>
      </c>
      <c r="E14" s="164"/>
      <c r="F14" s="164"/>
      <c r="G14" s="164"/>
      <c r="H14" s="164"/>
      <c r="I14" s="164"/>
      <c r="J14" s="164"/>
    </row>
    <row r="15" spans="1:35" ht="12.75" customHeight="1" x14ac:dyDescent="0.3">
      <c r="A15" s="92" t="s">
        <v>29</v>
      </c>
      <c r="B15" s="153" t="s">
        <v>31</v>
      </c>
      <c r="C15" s="93" t="s">
        <v>34</v>
      </c>
      <c r="G15" s="84"/>
      <c r="H15" s="84"/>
    </row>
    <row r="16" spans="1:35" ht="12.75" customHeight="1" x14ac:dyDescent="0.3">
      <c r="A16" s="92" t="s">
        <v>28</v>
      </c>
      <c r="B16" s="191">
        <f>INDEX($D$12:$J$12, MATCH(B14, $D$10:$J$10,0))/INDEX($D$12:$J$12, MATCH(B15, $D$10:$J$10,0))</f>
        <v>1.0597841134352428</v>
      </c>
      <c r="C16" s="103"/>
      <c r="D16" s="85"/>
      <c r="E16" s="83"/>
      <c r="F16" s="83"/>
      <c r="G16" s="83"/>
      <c r="H16" s="83"/>
    </row>
    <row r="17" spans="1:8" ht="12.75" customHeight="1" x14ac:dyDescent="0.3">
      <c r="A17" s="84"/>
      <c r="B17" s="86"/>
      <c r="C17" s="86"/>
      <c r="D17" s="86"/>
      <c r="E17" s="86"/>
      <c r="F17" s="86"/>
      <c r="G17" s="86"/>
      <c r="H17" s="84"/>
    </row>
    <row r="18" spans="1:8" ht="12.75" customHeight="1" x14ac:dyDescent="0.3"/>
    <row r="19" spans="1:8" ht="12.75" customHeight="1" x14ac:dyDescent="0.3"/>
    <row r="20" spans="1:8" ht="12.75" customHeight="1" x14ac:dyDescent="0.3"/>
    <row r="21" spans="1:8" ht="12.75" customHeight="1" x14ac:dyDescent="0.3">
      <c r="B21" s="92"/>
    </row>
    <row r="22" spans="1:8" ht="12.75" customHeight="1" x14ac:dyDescent="0.3">
      <c r="B22" s="92"/>
    </row>
    <row r="23" spans="1:8" ht="12.75" customHeight="1" x14ac:dyDescent="0.3">
      <c r="A23" s="146" t="s">
        <v>164</v>
      </c>
      <c r="B23" s="147"/>
    </row>
    <row r="24" spans="1:8" ht="12.75" customHeight="1" x14ac:dyDescent="0.3">
      <c r="A24" s="92" t="s">
        <v>165</v>
      </c>
      <c r="B24" s="148">
        <v>835781</v>
      </c>
    </row>
    <row r="25" spans="1:8" ht="12.75" customHeight="1" x14ac:dyDescent="0.3">
      <c r="A25" s="92" t="s">
        <v>166</v>
      </c>
      <c r="B25" s="148">
        <v>342669</v>
      </c>
    </row>
    <row r="26" spans="1:8" ht="12.75" customHeight="1" x14ac:dyDescent="0.3">
      <c r="A26" s="175" t="s">
        <v>167</v>
      </c>
      <c r="B26" s="176">
        <v>685025</v>
      </c>
    </row>
    <row r="27" spans="1:8" ht="12.75" customHeight="1" x14ac:dyDescent="0.3">
      <c r="A27" s="92" t="s">
        <v>204</v>
      </c>
      <c r="B27" s="177">
        <f>SUM(B24:B26)</f>
        <v>1863475</v>
      </c>
    </row>
    <row r="28" spans="1:8" ht="12.75" customHeight="1" x14ac:dyDescent="0.3"/>
    <row r="29" spans="1:8" ht="12.75" customHeight="1" x14ac:dyDescent="0.3">
      <c r="A29" s="92" t="s">
        <v>128</v>
      </c>
      <c r="B29" s="192">
        <f>SUM(B24:B25)/$B$27</f>
        <v>0.63239378043708661</v>
      </c>
    </row>
    <row r="30" spans="1:8" ht="12.75" customHeight="1" x14ac:dyDescent="0.3">
      <c r="A30" s="175" t="s">
        <v>167</v>
      </c>
      <c r="B30" s="193">
        <f>B26/$B$27</f>
        <v>0.36760621956291339</v>
      </c>
    </row>
    <row r="31" spans="1:8" ht="12.75" customHeight="1" x14ac:dyDescent="0.3">
      <c r="A31" s="178" t="s">
        <v>204</v>
      </c>
      <c r="B31" s="179">
        <f>SUM(B29:B30)</f>
        <v>1</v>
      </c>
    </row>
    <row r="32" spans="1:8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</sheetData>
  <dataValidations count="1">
    <dataValidation type="list" allowBlank="1" showInputMessage="1" showErrorMessage="1" sqref="B8 B14:B15" xr:uid="{00000000-0002-0000-0300-000000000000}">
      <formula1>$D$10:$J$10</formula1>
    </dataValidation>
  </dataValidations>
  <pageMargins left="0.7" right="0.7" top="0.75" bottom="0.75" header="0.3" footer="0.3"/>
  <pageSetup paperSize="9" orientation="portrait" r:id="rId1"/>
  <ignoredErrors>
    <ignoredError sqref="B2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AF89"/>
  <sheetViews>
    <sheetView showGridLines="0" zoomScale="80" zoomScaleNormal="80" workbookViewId="0">
      <pane xSplit="11" ySplit="9" topLeftCell="L10" activePane="bottomRight" state="frozen"/>
      <selection activeCell="F12" sqref="F12"/>
      <selection pane="topRight" activeCell="F12" sqref="F12"/>
      <selection pane="bottomLeft" activeCell="F12" sqref="F12"/>
      <selection pane="bottomRight" activeCell="L10" sqref="L10"/>
    </sheetView>
  </sheetViews>
  <sheetFormatPr defaultColWidth="9.109375" defaultRowHeight="13.8" x14ac:dyDescent="0.3"/>
  <cols>
    <col min="1" max="1" width="4.33203125" style="1" customWidth="1"/>
    <col min="2" max="2" width="2.6640625" style="1" customWidth="1"/>
    <col min="3" max="3" width="56.5546875" style="1" customWidth="1"/>
    <col min="4" max="5" width="11.109375" style="1" customWidth="1"/>
    <col min="6" max="6" width="13.33203125" style="93" bestFit="1" customWidth="1"/>
    <col min="7" max="7" width="11.109375" style="93" customWidth="1"/>
    <col min="8" max="8" width="2.88671875" style="1" customWidth="1"/>
    <col min="9" max="9" width="12.109375" style="1" customWidth="1"/>
    <col min="10" max="10" width="10" style="11" customWidth="1"/>
    <col min="11" max="11" width="2.33203125" style="1" customWidth="1"/>
    <col min="12" max="16" width="9.5546875" style="1" customWidth="1"/>
    <col min="17" max="17" width="3.33203125" style="1" customWidth="1"/>
    <col min="18" max="22" width="11.109375" style="1" customWidth="1"/>
    <col min="23" max="23" width="3.109375" style="1" customWidth="1"/>
    <col min="24" max="16384" width="9.109375" style="1"/>
  </cols>
  <sheetData>
    <row r="1" spans="1:32" ht="21" x14ac:dyDescent="0.4">
      <c r="A1" s="180" t="str">
        <f>Assumptions!A1</f>
        <v>Customer enablement</v>
      </c>
      <c r="B1" s="17"/>
      <c r="C1" s="14"/>
      <c r="D1" s="14"/>
      <c r="E1" s="14"/>
      <c r="F1" s="14"/>
      <c r="G1" s="14"/>
      <c r="H1" s="14"/>
      <c r="I1" s="14"/>
      <c r="J1" s="15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32" ht="15.6" x14ac:dyDescent="0.3">
      <c r="A2" s="181" t="str">
        <f>Assumptions!A2</f>
        <v>UE</v>
      </c>
      <c r="B2" s="16"/>
      <c r="C2" s="14"/>
      <c r="D2" s="14"/>
      <c r="E2" s="14"/>
      <c r="F2" s="14"/>
      <c r="G2" s="14"/>
      <c r="H2" s="14"/>
      <c r="I2" s="14"/>
      <c r="J2" s="15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32" s="36" customFormat="1" ht="14.4" x14ac:dyDescent="0.3">
      <c r="A3" s="34" t="s">
        <v>27</v>
      </c>
      <c r="B3" s="34"/>
      <c r="C3" s="34"/>
      <c r="D3" s="34"/>
      <c r="E3" s="34"/>
      <c r="F3" s="34"/>
      <c r="G3" s="34"/>
      <c r="H3" s="34"/>
      <c r="I3" s="34"/>
      <c r="J3" s="35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X3" s="182" t="b">
        <f>SUM(W7:W97)=0</f>
        <v>1</v>
      </c>
    </row>
    <row r="4" spans="1:32" s="2" customFormat="1" ht="12.75" customHeight="1" x14ac:dyDescent="0.3">
      <c r="B4" s="18"/>
      <c r="C4" s="19"/>
      <c r="D4" s="19"/>
      <c r="E4" s="19"/>
      <c r="F4" s="19"/>
      <c r="G4" s="19"/>
      <c r="H4" s="19"/>
      <c r="I4" s="19"/>
      <c r="J4" s="20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32" s="2" customFormat="1" ht="12.75" customHeight="1" x14ac:dyDescent="0.3">
      <c r="A5" s="2" t="str">
        <f>"Inputs are in $"&amp;Assumptions!$B$8&amp; " unless otherwise stated"</f>
        <v>Inputs are in $2018 unless otherwise stated</v>
      </c>
      <c r="B5" s="21"/>
      <c r="C5" s="19"/>
      <c r="D5" s="19"/>
      <c r="E5" s="19"/>
      <c r="F5" s="19"/>
      <c r="G5" s="19"/>
      <c r="H5" s="19"/>
      <c r="I5" s="19"/>
      <c r="J5" s="20"/>
      <c r="K5" s="19"/>
      <c r="L5" s="212"/>
      <c r="M5" s="212"/>
      <c r="N5" s="212"/>
      <c r="O5" s="212"/>
      <c r="P5" s="212"/>
      <c r="Q5" s="19"/>
      <c r="R5" s="212"/>
      <c r="S5" s="212"/>
      <c r="T5" s="212"/>
      <c r="U5" s="212"/>
      <c r="V5" s="212"/>
    </row>
    <row r="6" spans="1:32" ht="12.75" customHeight="1" x14ac:dyDescent="0.3">
      <c r="A6" s="6"/>
      <c r="H6" s="19"/>
    </row>
    <row r="7" spans="1:32" ht="12.75" customHeight="1" x14ac:dyDescent="0.3">
      <c r="A7" s="6"/>
      <c r="B7" s="93"/>
      <c r="C7" s="107" t="s">
        <v>40</v>
      </c>
      <c r="D7" s="22" t="s">
        <v>21</v>
      </c>
      <c r="E7" s="22" t="s">
        <v>8</v>
      </c>
      <c r="F7" s="22" t="s">
        <v>8</v>
      </c>
      <c r="G7" s="22" t="s">
        <v>133</v>
      </c>
      <c r="H7" s="19"/>
      <c r="I7" s="22" t="s">
        <v>14</v>
      </c>
      <c r="J7" s="22" t="s">
        <v>9</v>
      </c>
      <c r="K7" s="93"/>
      <c r="L7" s="22" t="s">
        <v>39</v>
      </c>
      <c r="M7" s="23"/>
      <c r="N7" s="23"/>
      <c r="O7" s="23"/>
      <c r="P7" s="23"/>
      <c r="Q7" s="4"/>
      <c r="R7" s="22" t="s">
        <v>10</v>
      </c>
      <c r="S7" s="23"/>
      <c r="T7" s="23"/>
      <c r="U7" s="23"/>
      <c r="V7" s="23"/>
    </row>
    <row r="8" spans="1:32" s="93" customFormat="1" ht="12.75" customHeight="1" x14ac:dyDescent="0.3">
      <c r="A8" s="6"/>
      <c r="B8" s="6"/>
      <c r="C8" s="6"/>
      <c r="D8" s="6"/>
      <c r="E8" s="6"/>
      <c r="F8" s="6"/>
      <c r="G8" s="6"/>
      <c r="H8" s="19"/>
      <c r="I8" s="6"/>
      <c r="J8" s="6"/>
      <c r="K8" s="4"/>
      <c r="L8" s="108" t="s">
        <v>15</v>
      </c>
      <c r="M8" s="108" t="s">
        <v>16</v>
      </c>
      <c r="N8" s="108" t="s">
        <v>17</v>
      </c>
      <c r="O8" s="108" t="s">
        <v>18</v>
      </c>
      <c r="P8" s="108" t="s">
        <v>19</v>
      </c>
      <c r="Q8" s="4"/>
      <c r="R8" s="108" t="s">
        <v>15</v>
      </c>
      <c r="S8" s="108" t="s">
        <v>16</v>
      </c>
      <c r="T8" s="108" t="s">
        <v>17</v>
      </c>
      <c r="U8" s="108" t="s">
        <v>18</v>
      </c>
      <c r="V8" s="108" t="s">
        <v>19</v>
      </c>
    </row>
    <row r="9" spans="1:32" ht="12.75" customHeight="1" x14ac:dyDescent="0.3">
      <c r="A9" s="93"/>
      <c r="B9" s="93"/>
      <c r="C9" s="4"/>
      <c r="D9" s="4"/>
      <c r="E9" s="4"/>
      <c r="F9" s="4"/>
      <c r="G9" s="4"/>
      <c r="H9" s="19"/>
      <c r="I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Y9" s="93"/>
      <c r="Z9" s="93"/>
      <c r="AA9" s="93"/>
      <c r="AB9" s="93"/>
      <c r="AC9" s="93"/>
      <c r="AD9" s="93"/>
      <c r="AE9" s="93"/>
      <c r="AF9" s="93"/>
    </row>
    <row r="10" spans="1:32" ht="12.75" customHeight="1" x14ac:dyDescent="0.3">
      <c r="A10" s="6"/>
      <c r="C10" s="102" t="s">
        <v>136</v>
      </c>
      <c r="D10" s="99" t="s">
        <v>4</v>
      </c>
      <c r="E10" s="99" t="s">
        <v>1</v>
      </c>
      <c r="F10" s="99" t="s">
        <v>121</v>
      </c>
      <c r="G10" s="143" t="s">
        <v>49</v>
      </c>
      <c r="H10" s="3"/>
      <c r="I10" s="100">
        <v>122.2</v>
      </c>
      <c r="J10" s="11" t="s">
        <v>37</v>
      </c>
      <c r="K10" s="3"/>
      <c r="L10" s="101">
        <v>2330</v>
      </c>
      <c r="M10" s="142"/>
      <c r="N10" s="101"/>
      <c r="O10" s="101"/>
      <c r="P10" s="101"/>
      <c r="Q10" s="3"/>
      <c r="R10" s="7">
        <f t="shared" ref="R10" si="0">L10*$I10</f>
        <v>284726</v>
      </c>
      <c r="S10" s="7">
        <f t="shared" ref="S10:S36" si="1">M10*$I10</f>
        <v>0</v>
      </c>
      <c r="T10" s="7">
        <f t="shared" ref="T10:T36" si="2">N10*$I10</f>
        <v>0</v>
      </c>
      <c r="U10" s="7">
        <f t="shared" ref="U10:U36" si="3">O10*$I10</f>
        <v>0</v>
      </c>
      <c r="V10" s="7">
        <f t="shared" ref="V10:V36" si="4">P10*$I10</f>
        <v>0</v>
      </c>
      <c r="Y10" s="93"/>
      <c r="Z10" s="93"/>
      <c r="AA10" s="93"/>
      <c r="AB10" s="93"/>
      <c r="AC10" s="93"/>
      <c r="AD10" s="93"/>
      <c r="AE10" s="93"/>
      <c r="AF10" s="93"/>
    </row>
    <row r="11" spans="1:32" s="93" customFormat="1" ht="12.75" customHeight="1" x14ac:dyDescent="0.3">
      <c r="A11" s="6"/>
      <c r="C11" s="102" t="s">
        <v>140</v>
      </c>
      <c r="D11" s="99" t="s">
        <v>4</v>
      </c>
      <c r="E11" s="99" t="s">
        <v>1</v>
      </c>
      <c r="F11" s="99" t="s">
        <v>121</v>
      </c>
      <c r="G11" s="143" t="s">
        <v>49</v>
      </c>
      <c r="H11" s="3"/>
      <c r="I11" s="100">
        <v>122.2</v>
      </c>
      <c r="J11" s="11" t="s">
        <v>37</v>
      </c>
      <c r="K11" s="3"/>
      <c r="L11" s="101">
        <v>6595</v>
      </c>
      <c r="M11" s="142"/>
      <c r="N11" s="101"/>
      <c r="O11" s="101"/>
      <c r="P11" s="101"/>
      <c r="Q11" s="3"/>
      <c r="R11" s="7">
        <f t="shared" ref="R11:R36" si="5">L11*$I11</f>
        <v>805909</v>
      </c>
      <c r="S11" s="7">
        <f t="shared" si="1"/>
        <v>0</v>
      </c>
      <c r="T11" s="7">
        <f t="shared" si="2"/>
        <v>0</v>
      </c>
      <c r="U11" s="7">
        <f t="shared" si="3"/>
        <v>0</v>
      </c>
      <c r="V11" s="7">
        <f t="shared" si="4"/>
        <v>0</v>
      </c>
    </row>
    <row r="12" spans="1:32" s="93" customFormat="1" ht="12.75" customHeight="1" x14ac:dyDescent="0.3">
      <c r="A12" s="6"/>
      <c r="C12" s="102" t="s">
        <v>137</v>
      </c>
      <c r="D12" s="99" t="s">
        <v>4</v>
      </c>
      <c r="E12" s="99" t="s">
        <v>1</v>
      </c>
      <c r="F12" s="99" t="s">
        <v>121</v>
      </c>
      <c r="G12" s="143" t="s">
        <v>49</v>
      </c>
      <c r="H12" s="3"/>
      <c r="I12" s="100">
        <v>122.2</v>
      </c>
      <c r="J12" s="11" t="s">
        <v>37</v>
      </c>
      <c r="K12" s="3"/>
      <c r="L12" s="101">
        <v>9030</v>
      </c>
      <c r="M12" s="142"/>
      <c r="N12" s="101"/>
      <c r="O12" s="101"/>
      <c r="P12" s="101"/>
      <c r="Q12" s="3"/>
      <c r="R12" s="7">
        <f t="shared" si="5"/>
        <v>1103466</v>
      </c>
      <c r="S12" s="7">
        <f t="shared" si="1"/>
        <v>0</v>
      </c>
      <c r="T12" s="7">
        <f t="shared" si="2"/>
        <v>0</v>
      </c>
      <c r="U12" s="7">
        <f t="shared" si="3"/>
        <v>0</v>
      </c>
      <c r="V12" s="7">
        <f t="shared" si="4"/>
        <v>0</v>
      </c>
    </row>
    <row r="13" spans="1:32" s="93" customFormat="1" ht="12.75" customHeight="1" x14ac:dyDescent="0.3">
      <c r="A13" s="6"/>
      <c r="C13" s="102" t="s">
        <v>138</v>
      </c>
      <c r="D13" s="99" t="s">
        <v>4</v>
      </c>
      <c r="E13" s="99" t="s">
        <v>1</v>
      </c>
      <c r="F13" s="99" t="s">
        <v>121</v>
      </c>
      <c r="G13" s="143" t="s">
        <v>49</v>
      </c>
      <c r="H13" s="3"/>
      <c r="I13" s="100">
        <v>122.2</v>
      </c>
      <c r="J13" s="11" t="s">
        <v>37</v>
      </c>
      <c r="K13" s="3"/>
      <c r="L13" s="101">
        <v>20160</v>
      </c>
      <c r="M13" s="142"/>
      <c r="N13" s="101"/>
      <c r="O13" s="101"/>
      <c r="P13" s="101"/>
      <c r="Q13" s="3"/>
      <c r="R13" s="7">
        <f t="shared" si="5"/>
        <v>2463552</v>
      </c>
      <c r="S13" s="7">
        <f t="shared" si="1"/>
        <v>0</v>
      </c>
      <c r="T13" s="7">
        <f t="shared" si="2"/>
        <v>0</v>
      </c>
      <c r="U13" s="7">
        <f t="shared" si="3"/>
        <v>0</v>
      </c>
      <c r="V13" s="7">
        <f t="shared" si="4"/>
        <v>0</v>
      </c>
    </row>
    <row r="14" spans="1:32" s="93" customFormat="1" ht="12.75" customHeight="1" x14ac:dyDescent="0.3">
      <c r="A14" s="6"/>
      <c r="C14" s="102" t="s">
        <v>139</v>
      </c>
      <c r="D14" s="99" t="s">
        <v>4</v>
      </c>
      <c r="E14" s="99" t="s">
        <v>1</v>
      </c>
      <c r="F14" s="99" t="s">
        <v>121</v>
      </c>
      <c r="G14" s="143" t="s">
        <v>49</v>
      </c>
      <c r="H14" s="3"/>
      <c r="I14" s="100">
        <v>122.2</v>
      </c>
      <c r="J14" s="11" t="s">
        <v>37</v>
      </c>
      <c r="K14" s="3"/>
      <c r="L14" s="101">
        <v>10320</v>
      </c>
      <c r="M14" s="142"/>
      <c r="N14" s="101"/>
      <c r="O14" s="101"/>
      <c r="P14" s="101"/>
      <c r="Q14" s="3"/>
      <c r="R14" s="7">
        <f t="shared" si="5"/>
        <v>1261104</v>
      </c>
      <c r="S14" s="7">
        <f t="shared" si="1"/>
        <v>0</v>
      </c>
      <c r="T14" s="7">
        <f t="shared" si="2"/>
        <v>0</v>
      </c>
      <c r="U14" s="7">
        <f t="shared" si="3"/>
        <v>0</v>
      </c>
      <c r="V14" s="7">
        <f t="shared" si="4"/>
        <v>0</v>
      </c>
    </row>
    <row r="15" spans="1:32" s="93" customFormat="1" ht="12.75" customHeight="1" x14ac:dyDescent="0.3">
      <c r="A15" s="6"/>
      <c r="C15" s="102" t="s">
        <v>141</v>
      </c>
      <c r="D15" s="99" t="s">
        <v>4</v>
      </c>
      <c r="E15" s="99" t="s">
        <v>1</v>
      </c>
      <c r="F15" s="99" t="s">
        <v>121</v>
      </c>
      <c r="G15" s="143" t="s">
        <v>49</v>
      </c>
      <c r="H15" s="3"/>
      <c r="I15" s="100">
        <v>122.2</v>
      </c>
      <c r="J15" s="11" t="s">
        <v>37</v>
      </c>
      <c r="K15" s="3"/>
      <c r="L15" s="101">
        <v>5060</v>
      </c>
      <c r="M15" s="142"/>
      <c r="N15" s="101"/>
      <c r="O15" s="101"/>
      <c r="P15" s="101"/>
      <c r="Q15" s="3"/>
      <c r="R15" s="7">
        <f t="shared" si="5"/>
        <v>618332</v>
      </c>
      <c r="S15" s="7">
        <f t="shared" si="1"/>
        <v>0</v>
      </c>
      <c r="T15" s="7">
        <f t="shared" si="2"/>
        <v>0</v>
      </c>
      <c r="U15" s="7">
        <f t="shared" si="3"/>
        <v>0</v>
      </c>
      <c r="V15" s="7">
        <f t="shared" si="4"/>
        <v>0</v>
      </c>
    </row>
    <row r="16" spans="1:32" s="93" customFormat="1" ht="12.75" customHeight="1" x14ac:dyDescent="0.3">
      <c r="A16" s="6"/>
      <c r="C16" s="98" t="s">
        <v>44</v>
      </c>
      <c r="D16" s="99" t="s">
        <v>4</v>
      </c>
      <c r="E16" s="99" t="s">
        <v>1</v>
      </c>
      <c r="F16" s="99" t="s">
        <v>121</v>
      </c>
      <c r="G16" s="143" t="s">
        <v>134</v>
      </c>
      <c r="H16" s="3"/>
      <c r="I16" s="100">
        <v>122.2</v>
      </c>
      <c r="J16" s="11" t="s">
        <v>37</v>
      </c>
      <c r="K16" s="3"/>
      <c r="L16" s="101"/>
      <c r="M16" s="101">
        <v>400</v>
      </c>
      <c r="N16" s="101"/>
      <c r="O16" s="101"/>
      <c r="P16" s="101"/>
      <c r="Q16" s="3"/>
      <c r="R16" s="7">
        <f t="shared" si="5"/>
        <v>0</v>
      </c>
      <c r="S16" s="7">
        <f t="shared" si="1"/>
        <v>48880</v>
      </c>
      <c r="T16" s="7">
        <f t="shared" si="2"/>
        <v>0</v>
      </c>
      <c r="U16" s="7">
        <f t="shared" si="3"/>
        <v>0</v>
      </c>
      <c r="V16" s="7">
        <f t="shared" si="4"/>
        <v>0</v>
      </c>
    </row>
    <row r="17" spans="1:22" s="93" customFormat="1" ht="12.75" customHeight="1" x14ac:dyDescent="0.3">
      <c r="A17" s="6"/>
      <c r="C17" s="98" t="s">
        <v>142</v>
      </c>
      <c r="D17" s="99" t="s">
        <v>4</v>
      </c>
      <c r="E17" s="99" t="s">
        <v>1</v>
      </c>
      <c r="F17" s="99" t="s">
        <v>121</v>
      </c>
      <c r="G17" s="143" t="s">
        <v>134</v>
      </c>
      <c r="H17" s="3"/>
      <c r="I17" s="100">
        <v>122.2</v>
      </c>
      <c r="J17" s="11" t="s">
        <v>37</v>
      </c>
      <c r="K17" s="3"/>
      <c r="L17" s="101"/>
      <c r="M17" s="101">
        <v>1050</v>
      </c>
      <c r="N17" s="101"/>
      <c r="O17" s="101"/>
      <c r="P17" s="101"/>
      <c r="Q17" s="3"/>
      <c r="R17" s="7">
        <f t="shared" si="5"/>
        <v>0</v>
      </c>
      <c r="S17" s="7">
        <f t="shared" si="1"/>
        <v>128310</v>
      </c>
      <c r="T17" s="7">
        <f t="shared" si="2"/>
        <v>0</v>
      </c>
      <c r="U17" s="7">
        <f t="shared" si="3"/>
        <v>0</v>
      </c>
      <c r="V17" s="7">
        <f t="shared" si="4"/>
        <v>0</v>
      </c>
    </row>
    <row r="18" spans="1:22" s="93" customFormat="1" ht="12.75" customHeight="1" x14ac:dyDescent="0.3">
      <c r="A18" s="6"/>
      <c r="C18" s="98" t="s">
        <v>143</v>
      </c>
      <c r="D18" s="99" t="s">
        <v>4</v>
      </c>
      <c r="E18" s="99" t="s">
        <v>1</v>
      </c>
      <c r="F18" s="99" t="s">
        <v>121</v>
      </c>
      <c r="G18" s="143" t="s">
        <v>134</v>
      </c>
      <c r="H18" s="3"/>
      <c r="I18" s="100">
        <v>122.2</v>
      </c>
      <c r="J18" s="11" t="s">
        <v>37</v>
      </c>
      <c r="K18" s="3"/>
      <c r="L18" s="101"/>
      <c r="M18" s="101">
        <v>1400</v>
      </c>
      <c r="N18" s="101"/>
      <c r="O18" s="101"/>
      <c r="P18" s="101"/>
      <c r="Q18" s="3"/>
      <c r="R18" s="7">
        <f t="shared" si="5"/>
        <v>0</v>
      </c>
      <c r="S18" s="7">
        <f t="shared" si="1"/>
        <v>171080</v>
      </c>
      <c r="T18" s="7">
        <f t="shared" si="2"/>
        <v>0</v>
      </c>
      <c r="U18" s="7">
        <f t="shared" si="3"/>
        <v>0</v>
      </c>
      <c r="V18" s="7">
        <f t="shared" si="4"/>
        <v>0</v>
      </c>
    </row>
    <row r="19" spans="1:22" s="93" customFormat="1" ht="12.75" customHeight="1" x14ac:dyDescent="0.3">
      <c r="A19" s="6"/>
      <c r="C19" s="98" t="s">
        <v>151</v>
      </c>
      <c r="D19" s="99" t="s">
        <v>4</v>
      </c>
      <c r="E19" s="99" t="s">
        <v>1</v>
      </c>
      <c r="F19" s="99" t="s">
        <v>121</v>
      </c>
      <c r="G19" s="143" t="s">
        <v>134</v>
      </c>
      <c r="H19" s="3"/>
      <c r="I19" s="100">
        <v>122.2</v>
      </c>
      <c r="J19" s="11" t="s">
        <v>37</v>
      </c>
      <c r="K19" s="3"/>
      <c r="L19" s="101"/>
      <c r="M19" s="101">
        <v>2000</v>
      </c>
      <c r="N19" s="101"/>
      <c r="O19" s="101"/>
      <c r="P19" s="101"/>
      <c r="Q19" s="3"/>
      <c r="R19" s="7">
        <f t="shared" si="5"/>
        <v>0</v>
      </c>
      <c r="S19" s="7">
        <f t="shared" si="1"/>
        <v>244400</v>
      </c>
      <c r="T19" s="7">
        <f t="shared" si="2"/>
        <v>0</v>
      </c>
      <c r="U19" s="7">
        <f t="shared" si="3"/>
        <v>0</v>
      </c>
      <c r="V19" s="7">
        <f t="shared" si="4"/>
        <v>0</v>
      </c>
    </row>
    <row r="20" spans="1:22" s="93" customFormat="1" ht="12.75" customHeight="1" x14ac:dyDescent="0.3">
      <c r="A20" s="6"/>
      <c r="C20" s="98" t="s">
        <v>144</v>
      </c>
      <c r="D20" s="99" t="s">
        <v>4</v>
      </c>
      <c r="E20" s="99" t="s">
        <v>1</v>
      </c>
      <c r="F20" s="99" t="s">
        <v>121</v>
      </c>
      <c r="G20" s="143" t="s">
        <v>134</v>
      </c>
      <c r="H20" s="3"/>
      <c r="I20" s="100">
        <v>122.2</v>
      </c>
      <c r="J20" s="11" t="s">
        <v>37</v>
      </c>
      <c r="K20" s="3"/>
      <c r="L20" s="101"/>
      <c r="M20" s="101">
        <v>1400</v>
      </c>
      <c r="N20" s="101"/>
      <c r="O20" s="101"/>
      <c r="P20" s="101"/>
      <c r="Q20" s="3"/>
      <c r="R20" s="7">
        <f t="shared" si="5"/>
        <v>0</v>
      </c>
      <c r="S20" s="7">
        <f t="shared" si="1"/>
        <v>171080</v>
      </c>
      <c r="T20" s="7">
        <f t="shared" si="2"/>
        <v>0</v>
      </c>
      <c r="U20" s="7">
        <f t="shared" si="3"/>
        <v>0</v>
      </c>
      <c r="V20" s="7">
        <f t="shared" si="4"/>
        <v>0</v>
      </c>
    </row>
    <row r="21" spans="1:22" s="93" customFormat="1" ht="12.75" customHeight="1" x14ac:dyDescent="0.3">
      <c r="A21" s="6"/>
      <c r="C21" s="98" t="s">
        <v>145</v>
      </c>
      <c r="D21" s="99" t="s">
        <v>4</v>
      </c>
      <c r="E21" s="99" t="s">
        <v>1</v>
      </c>
      <c r="F21" s="99" t="s">
        <v>121</v>
      </c>
      <c r="G21" s="143" t="s">
        <v>134</v>
      </c>
      <c r="H21" s="3"/>
      <c r="I21" s="100">
        <v>122.2</v>
      </c>
      <c r="J21" s="11" t="s">
        <v>37</v>
      </c>
      <c r="K21" s="3"/>
      <c r="L21" s="101"/>
      <c r="M21" s="101">
        <v>605</v>
      </c>
      <c r="N21" s="101"/>
      <c r="O21" s="101"/>
      <c r="P21" s="101"/>
      <c r="Q21" s="3"/>
      <c r="R21" s="7">
        <f t="shared" si="5"/>
        <v>0</v>
      </c>
      <c r="S21" s="7">
        <f t="shared" si="1"/>
        <v>73931</v>
      </c>
      <c r="T21" s="7">
        <f t="shared" si="2"/>
        <v>0</v>
      </c>
      <c r="U21" s="7">
        <f t="shared" si="3"/>
        <v>0</v>
      </c>
      <c r="V21" s="7">
        <f t="shared" si="4"/>
        <v>0</v>
      </c>
    </row>
    <row r="22" spans="1:22" s="93" customFormat="1" ht="12.75" customHeight="1" x14ac:dyDescent="0.3">
      <c r="A22" s="6"/>
      <c r="C22" s="98" t="s">
        <v>43</v>
      </c>
      <c r="D22" s="99" t="s">
        <v>4</v>
      </c>
      <c r="E22" s="99" t="s">
        <v>1</v>
      </c>
      <c r="F22" s="99" t="s">
        <v>121</v>
      </c>
      <c r="G22" s="143" t="s">
        <v>134</v>
      </c>
      <c r="H22" s="3"/>
      <c r="I22" s="100">
        <v>122.2</v>
      </c>
      <c r="J22" s="11" t="s">
        <v>37</v>
      </c>
      <c r="K22" s="3"/>
      <c r="L22" s="101"/>
      <c r="M22" s="101">
        <v>750</v>
      </c>
      <c r="N22" s="101"/>
      <c r="O22" s="101"/>
      <c r="P22" s="101"/>
      <c r="Q22" s="3"/>
      <c r="R22" s="7">
        <f t="shared" si="5"/>
        <v>0</v>
      </c>
      <c r="S22" s="7">
        <f t="shared" si="1"/>
        <v>91650</v>
      </c>
      <c r="T22" s="7">
        <f t="shared" si="2"/>
        <v>0</v>
      </c>
      <c r="U22" s="7">
        <f t="shared" si="3"/>
        <v>0</v>
      </c>
      <c r="V22" s="7">
        <f t="shared" si="4"/>
        <v>0</v>
      </c>
    </row>
    <row r="23" spans="1:22" s="93" customFormat="1" ht="12.75" customHeight="1" x14ac:dyDescent="0.3">
      <c r="A23" s="6"/>
      <c r="C23" s="98" t="s">
        <v>146</v>
      </c>
      <c r="D23" s="99" t="s">
        <v>4</v>
      </c>
      <c r="E23" s="99" t="s">
        <v>1</v>
      </c>
      <c r="F23" s="99" t="s">
        <v>121</v>
      </c>
      <c r="G23" s="143" t="s">
        <v>134</v>
      </c>
      <c r="H23" s="3"/>
      <c r="I23" s="100">
        <v>122.2</v>
      </c>
      <c r="J23" s="11" t="s">
        <v>37</v>
      </c>
      <c r="K23" s="3"/>
      <c r="L23" s="101"/>
      <c r="M23" s="101">
        <v>1500</v>
      </c>
      <c r="N23" s="101"/>
      <c r="O23" s="101"/>
      <c r="P23" s="101"/>
      <c r="Q23" s="3"/>
      <c r="R23" s="7">
        <f t="shared" si="5"/>
        <v>0</v>
      </c>
      <c r="S23" s="7">
        <f t="shared" si="1"/>
        <v>183300</v>
      </c>
      <c r="T23" s="7">
        <f t="shared" si="2"/>
        <v>0</v>
      </c>
      <c r="U23" s="7">
        <f t="shared" si="3"/>
        <v>0</v>
      </c>
      <c r="V23" s="7">
        <f t="shared" si="4"/>
        <v>0</v>
      </c>
    </row>
    <row r="24" spans="1:22" s="93" customFormat="1" ht="12.75" customHeight="1" x14ac:dyDescent="0.3">
      <c r="A24" s="6"/>
      <c r="C24" s="98" t="s">
        <v>147</v>
      </c>
      <c r="D24" s="99" t="s">
        <v>4</v>
      </c>
      <c r="E24" s="99" t="s">
        <v>1</v>
      </c>
      <c r="F24" s="99" t="s">
        <v>121</v>
      </c>
      <c r="G24" s="143" t="s">
        <v>134</v>
      </c>
      <c r="H24" s="3"/>
      <c r="I24" s="100">
        <v>122.2</v>
      </c>
      <c r="J24" s="11" t="s">
        <v>37</v>
      </c>
      <c r="K24" s="3"/>
      <c r="L24" s="101"/>
      <c r="M24" s="101">
        <v>3000</v>
      </c>
      <c r="N24" s="101"/>
      <c r="O24" s="101"/>
      <c r="P24" s="101"/>
      <c r="Q24" s="3"/>
      <c r="R24" s="7">
        <f t="shared" si="5"/>
        <v>0</v>
      </c>
      <c r="S24" s="7">
        <f t="shared" si="1"/>
        <v>366600</v>
      </c>
      <c r="T24" s="7">
        <f t="shared" si="2"/>
        <v>0</v>
      </c>
      <c r="U24" s="7">
        <f t="shared" si="3"/>
        <v>0</v>
      </c>
      <c r="V24" s="7">
        <f t="shared" si="4"/>
        <v>0</v>
      </c>
    </row>
    <row r="25" spans="1:22" s="93" customFormat="1" ht="12.75" customHeight="1" x14ac:dyDescent="0.3">
      <c r="A25" s="6"/>
      <c r="C25" s="98" t="s">
        <v>150</v>
      </c>
      <c r="D25" s="99" t="s">
        <v>4</v>
      </c>
      <c r="E25" s="99" t="s">
        <v>1</v>
      </c>
      <c r="F25" s="99" t="s">
        <v>121</v>
      </c>
      <c r="G25" s="143" t="s">
        <v>134</v>
      </c>
      <c r="H25" s="3"/>
      <c r="I25" s="100">
        <v>122.2</v>
      </c>
      <c r="J25" s="11" t="s">
        <v>37</v>
      </c>
      <c r="K25" s="3"/>
      <c r="L25" s="101"/>
      <c r="M25" s="101">
        <v>2000</v>
      </c>
      <c r="N25" s="101"/>
      <c r="O25" s="101"/>
      <c r="P25" s="101"/>
      <c r="Q25" s="3"/>
      <c r="R25" s="7">
        <f t="shared" si="5"/>
        <v>0</v>
      </c>
      <c r="S25" s="7">
        <f t="shared" si="1"/>
        <v>244400</v>
      </c>
      <c r="T25" s="7">
        <f t="shared" si="2"/>
        <v>0</v>
      </c>
      <c r="U25" s="7">
        <f t="shared" si="3"/>
        <v>0</v>
      </c>
      <c r="V25" s="7">
        <f t="shared" si="4"/>
        <v>0</v>
      </c>
    </row>
    <row r="26" spans="1:22" s="93" customFormat="1" ht="12.75" customHeight="1" x14ac:dyDescent="0.3">
      <c r="A26" s="6"/>
      <c r="C26" s="98" t="s">
        <v>148</v>
      </c>
      <c r="D26" s="99" t="s">
        <v>4</v>
      </c>
      <c r="E26" s="99" t="s">
        <v>1</v>
      </c>
      <c r="F26" s="99" t="s">
        <v>121</v>
      </c>
      <c r="G26" s="143" t="s">
        <v>134</v>
      </c>
      <c r="H26" s="3"/>
      <c r="I26" s="100">
        <v>122.2</v>
      </c>
      <c r="J26" s="11" t="s">
        <v>37</v>
      </c>
      <c r="K26" s="3"/>
      <c r="L26" s="101"/>
      <c r="M26" s="101">
        <v>3000</v>
      </c>
      <c r="N26" s="101"/>
      <c r="O26" s="101"/>
      <c r="P26" s="101"/>
      <c r="Q26" s="3"/>
      <c r="R26" s="7">
        <f t="shared" si="5"/>
        <v>0</v>
      </c>
      <c r="S26" s="7">
        <f t="shared" si="1"/>
        <v>366600</v>
      </c>
      <c r="T26" s="7">
        <f t="shared" si="2"/>
        <v>0</v>
      </c>
      <c r="U26" s="7">
        <f t="shared" si="3"/>
        <v>0</v>
      </c>
      <c r="V26" s="7">
        <f t="shared" si="4"/>
        <v>0</v>
      </c>
    </row>
    <row r="27" spans="1:22" s="93" customFormat="1" ht="12.75" customHeight="1" x14ac:dyDescent="0.3">
      <c r="A27" s="6"/>
      <c r="C27" s="98" t="s">
        <v>149</v>
      </c>
      <c r="D27" s="99" t="s">
        <v>4</v>
      </c>
      <c r="E27" s="99" t="s">
        <v>1</v>
      </c>
      <c r="F27" s="99" t="s">
        <v>121</v>
      </c>
      <c r="G27" s="143" t="s">
        <v>134</v>
      </c>
      <c r="H27" s="3"/>
      <c r="I27" s="100">
        <v>122.2</v>
      </c>
      <c r="J27" s="11" t="s">
        <v>37</v>
      </c>
      <c r="K27" s="3"/>
      <c r="L27" s="101"/>
      <c r="M27" s="101">
        <v>750</v>
      </c>
      <c r="N27" s="101"/>
      <c r="O27" s="101"/>
      <c r="P27" s="101"/>
      <c r="Q27" s="3"/>
      <c r="R27" s="7">
        <f t="shared" si="5"/>
        <v>0</v>
      </c>
      <c r="S27" s="7">
        <f t="shared" si="1"/>
        <v>91650</v>
      </c>
      <c r="T27" s="7">
        <f t="shared" si="2"/>
        <v>0</v>
      </c>
      <c r="U27" s="7">
        <f t="shared" si="3"/>
        <v>0</v>
      </c>
      <c r="V27" s="7">
        <f t="shared" si="4"/>
        <v>0</v>
      </c>
    </row>
    <row r="28" spans="1:22" s="93" customFormat="1" ht="12.75" customHeight="1" x14ac:dyDescent="0.3">
      <c r="A28" s="6"/>
      <c r="C28" s="98" t="s">
        <v>152</v>
      </c>
      <c r="D28" s="99" t="s">
        <v>4</v>
      </c>
      <c r="E28" s="99" t="s">
        <v>1</v>
      </c>
      <c r="F28" s="99" t="s">
        <v>121</v>
      </c>
      <c r="G28" s="143" t="s">
        <v>134</v>
      </c>
      <c r="H28" s="3"/>
      <c r="I28" s="100">
        <v>122.2</v>
      </c>
      <c r="J28" s="11" t="s">
        <v>37</v>
      </c>
      <c r="K28" s="3"/>
      <c r="L28" s="101">
        <v>400</v>
      </c>
      <c r="M28" s="101"/>
      <c r="N28" s="101"/>
      <c r="O28" s="101"/>
      <c r="P28" s="101"/>
      <c r="Q28" s="3"/>
      <c r="R28" s="7">
        <f t="shared" si="5"/>
        <v>48880</v>
      </c>
      <c r="S28" s="7">
        <f t="shared" si="1"/>
        <v>0</v>
      </c>
      <c r="T28" s="7">
        <f t="shared" si="2"/>
        <v>0</v>
      </c>
      <c r="U28" s="7">
        <f t="shared" si="3"/>
        <v>0</v>
      </c>
      <c r="V28" s="7">
        <f t="shared" si="4"/>
        <v>0</v>
      </c>
    </row>
    <row r="29" spans="1:22" s="93" customFormat="1" ht="12.75" customHeight="1" x14ac:dyDescent="0.3">
      <c r="A29" s="6"/>
      <c r="C29" s="98" t="s">
        <v>153</v>
      </c>
      <c r="D29" s="99" t="s">
        <v>4</v>
      </c>
      <c r="E29" s="99" t="s">
        <v>1</v>
      </c>
      <c r="F29" s="99" t="s">
        <v>121</v>
      </c>
      <c r="G29" s="143" t="s">
        <v>134</v>
      </c>
      <c r="H29" s="3"/>
      <c r="I29" s="100">
        <v>122.2</v>
      </c>
      <c r="J29" s="11" t="s">
        <v>37</v>
      </c>
      <c r="K29" s="3"/>
      <c r="L29" s="101">
        <v>1500</v>
      </c>
      <c r="M29" s="101"/>
      <c r="N29" s="101"/>
      <c r="O29" s="101"/>
      <c r="P29" s="101"/>
      <c r="Q29" s="3"/>
      <c r="R29" s="7">
        <f t="shared" si="5"/>
        <v>183300</v>
      </c>
      <c r="S29" s="7">
        <f t="shared" si="1"/>
        <v>0</v>
      </c>
      <c r="T29" s="7">
        <f t="shared" si="2"/>
        <v>0</v>
      </c>
      <c r="U29" s="7">
        <f t="shared" si="3"/>
        <v>0</v>
      </c>
      <c r="V29" s="7">
        <f t="shared" si="4"/>
        <v>0</v>
      </c>
    </row>
    <row r="30" spans="1:22" s="93" customFormat="1" ht="12.75" customHeight="1" x14ac:dyDescent="0.3">
      <c r="A30" s="6"/>
      <c r="C30" s="98" t="s">
        <v>154</v>
      </c>
      <c r="D30" s="99" t="s">
        <v>4</v>
      </c>
      <c r="E30" s="99" t="s">
        <v>1</v>
      </c>
      <c r="F30" s="99" t="s">
        <v>121</v>
      </c>
      <c r="G30" s="143" t="s">
        <v>134</v>
      </c>
      <c r="H30" s="3"/>
      <c r="I30" s="100">
        <v>122.2</v>
      </c>
      <c r="J30" s="11" t="s">
        <v>37</v>
      </c>
      <c r="K30" s="3"/>
      <c r="L30" s="101">
        <v>700</v>
      </c>
      <c r="M30" s="101"/>
      <c r="N30" s="101"/>
      <c r="O30" s="101"/>
      <c r="P30" s="101"/>
      <c r="Q30" s="3"/>
      <c r="R30" s="7">
        <f t="shared" si="5"/>
        <v>85540</v>
      </c>
      <c r="S30" s="7">
        <f t="shared" si="1"/>
        <v>0</v>
      </c>
      <c r="T30" s="7">
        <f t="shared" si="2"/>
        <v>0</v>
      </c>
      <c r="U30" s="7">
        <f t="shared" si="3"/>
        <v>0</v>
      </c>
      <c r="V30" s="7">
        <f t="shared" si="4"/>
        <v>0</v>
      </c>
    </row>
    <row r="31" spans="1:22" s="93" customFormat="1" ht="12.75" customHeight="1" x14ac:dyDescent="0.3">
      <c r="A31" s="6"/>
      <c r="C31" s="98" t="s">
        <v>42</v>
      </c>
      <c r="D31" s="99" t="s">
        <v>4</v>
      </c>
      <c r="E31" s="99" t="s">
        <v>1</v>
      </c>
      <c r="F31" s="99" t="s">
        <v>121</v>
      </c>
      <c r="G31" s="143" t="s">
        <v>134</v>
      </c>
      <c r="H31" s="3"/>
      <c r="I31" s="100">
        <v>122.2</v>
      </c>
      <c r="J31" s="11" t="s">
        <v>37</v>
      </c>
      <c r="K31" s="3"/>
      <c r="L31" s="101">
        <v>1500</v>
      </c>
      <c r="M31" s="101"/>
      <c r="N31" s="101"/>
      <c r="O31" s="101"/>
      <c r="P31" s="101"/>
      <c r="Q31" s="3"/>
      <c r="R31" s="7">
        <f t="shared" si="5"/>
        <v>183300</v>
      </c>
      <c r="S31" s="7">
        <f t="shared" si="1"/>
        <v>0</v>
      </c>
      <c r="T31" s="7">
        <f t="shared" si="2"/>
        <v>0</v>
      </c>
      <c r="U31" s="7">
        <f t="shared" si="3"/>
        <v>0</v>
      </c>
      <c r="V31" s="7">
        <f t="shared" si="4"/>
        <v>0</v>
      </c>
    </row>
    <row r="32" spans="1:22" s="93" customFormat="1" ht="12.75" customHeight="1" x14ac:dyDescent="0.3">
      <c r="A32" s="6"/>
      <c r="C32" s="98" t="s">
        <v>158</v>
      </c>
      <c r="D32" s="99" t="s">
        <v>4</v>
      </c>
      <c r="E32" s="99" t="s">
        <v>1</v>
      </c>
      <c r="F32" s="99" t="s">
        <v>121</v>
      </c>
      <c r="G32" s="143" t="s">
        <v>134</v>
      </c>
      <c r="H32" s="3"/>
      <c r="I32" s="100">
        <v>122.2</v>
      </c>
      <c r="J32" s="11" t="s">
        <v>37</v>
      </c>
      <c r="K32" s="3"/>
      <c r="L32" s="101"/>
      <c r="M32" s="101"/>
      <c r="N32" s="101">
        <v>300</v>
      </c>
      <c r="O32" s="101"/>
      <c r="P32" s="101"/>
      <c r="Q32" s="3"/>
      <c r="R32" s="7">
        <f t="shared" si="5"/>
        <v>0</v>
      </c>
      <c r="S32" s="7">
        <f t="shared" si="1"/>
        <v>0</v>
      </c>
      <c r="T32" s="7">
        <f t="shared" si="2"/>
        <v>36660</v>
      </c>
      <c r="U32" s="7">
        <f t="shared" si="3"/>
        <v>0</v>
      </c>
      <c r="V32" s="7">
        <f t="shared" si="4"/>
        <v>0</v>
      </c>
    </row>
    <row r="33" spans="1:23" s="93" customFormat="1" ht="12.75" customHeight="1" x14ac:dyDescent="0.3">
      <c r="A33" s="6"/>
      <c r="C33" s="98" t="s">
        <v>155</v>
      </c>
      <c r="D33" s="99" t="s">
        <v>4</v>
      </c>
      <c r="E33" s="99" t="s">
        <v>1</v>
      </c>
      <c r="F33" s="99" t="s">
        <v>121</v>
      </c>
      <c r="G33" s="143" t="s">
        <v>134</v>
      </c>
      <c r="H33" s="3"/>
      <c r="I33" s="100">
        <v>122.2</v>
      </c>
      <c r="J33" s="11" t="s">
        <v>37</v>
      </c>
      <c r="K33" s="3"/>
      <c r="L33" s="101"/>
      <c r="M33" s="101"/>
      <c r="N33" s="101">
        <v>300</v>
      </c>
      <c r="O33" s="101"/>
      <c r="P33" s="101"/>
      <c r="Q33" s="3"/>
      <c r="R33" s="7">
        <f t="shared" si="5"/>
        <v>0</v>
      </c>
      <c r="S33" s="7">
        <f t="shared" si="1"/>
        <v>0</v>
      </c>
      <c r="T33" s="7">
        <f t="shared" si="2"/>
        <v>36660</v>
      </c>
      <c r="U33" s="7">
        <f t="shared" si="3"/>
        <v>0</v>
      </c>
      <c r="V33" s="7">
        <f t="shared" si="4"/>
        <v>0</v>
      </c>
    </row>
    <row r="34" spans="1:23" s="93" customFormat="1" ht="12.75" customHeight="1" x14ac:dyDescent="0.3">
      <c r="A34" s="6"/>
      <c r="C34" s="98" t="s">
        <v>159</v>
      </c>
      <c r="D34" s="99" t="s">
        <v>4</v>
      </c>
      <c r="E34" s="99" t="s">
        <v>1</v>
      </c>
      <c r="F34" s="99" t="s">
        <v>121</v>
      </c>
      <c r="G34" s="143" t="s">
        <v>134</v>
      </c>
      <c r="H34" s="3"/>
      <c r="I34" s="100">
        <v>122.2</v>
      </c>
      <c r="J34" s="11" t="s">
        <v>37</v>
      </c>
      <c r="K34" s="3"/>
      <c r="L34" s="101"/>
      <c r="M34" s="101"/>
      <c r="N34" s="101">
        <v>600</v>
      </c>
      <c r="O34" s="101"/>
      <c r="P34" s="101"/>
      <c r="Q34" s="3"/>
      <c r="R34" s="7">
        <f t="shared" si="5"/>
        <v>0</v>
      </c>
      <c r="S34" s="7">
        <f t="shared" si="1"/>
        <v>0</v>
      </c>
      <c r="T34" s="7">
        <f t="shared" si="2"/>
        <v>73320</v>
      </c>
      <c r="U34" s="7">
        <f t="shared" si="3"/>
        <v>0</v>
      </c>
      <c r="V34" s="7">
        <f t="shared" si="4"/>
        <v>0</v>
      </c>
    </row>
    <row r="35" spans="1:23" s="93" customFormat="1" ht="12.75" customHeight="1" x14ac:dyDescent="0.3">
      <c r="A35" s="6"/>
      <c r="C35" s="98" t="s">
        <v>156</v>
      </c>
      <c r="D35" s="99" t="s">
        <v>4</v>
      </c>
      <c r="E35" s="99" t="s">
        <v>1</v>
      </c>
      <c r="F35" s="99" t="s">
        <v>121</v>
      </c>
      <c r="G35" s="143" t="s">
        <v>134</v>
      </c>
      <c r="H35" s="3"/>
      <c r="I35" s="100">
        <v>122.2</v>
      </c>
      <c r="J35" s="11" t="s">
        <v>37</v>
      </c>
      <c r="K35" s="3"/>
      <c r="L35" s="101"/>
      <c r="M35" s="101"/>
      <c r="N35" s="101">
        <v>300</v>
      </c>
      <c r="O35" s="101"/>
      <c r="P35" s="101"/>
      <c r="Q35" s="3"/>
      <c r="R35" s="7">
        <f t="shared" si="5"/>
        <v>0</v>
      </c>
      <c r="S35" s="7">
        <f t="shared" si="1"/>
        <v>0</v>
      </c>
      <c r="T35" s="7">
        <f t="shared" si="2"/>
        <v>36660</v>
      </c>
      <c r="U35" s="7">
        <f t="shared" si="3"/>
        <v>0</v>
      </c>
      <c r="V35" s="7">
        <f t="shared" si="4"/>
        <v>0</v>
      </c>
    </row>
    <row r="36" spans="1:23" s="93" customFormat="1" ht="12.75" customHeight="1" x14ac:dyDescent="0.3">
      <c r="A36" s="6"/>
      <c r="C36" s="98" t="s">
        <v>157</v>
      </c>
      <c r="D36" s="99" t="s">
        <v>4</v>
      </c>
      <c r="E36" s="99" t="s">
        <v>1</v>
      </c>
      <c r="F36" s="99" t="s">
        <v>121</v>
      </c>
      <c r="G36" s="143" t="s">
        <v>134</v>
      </c>
      <c r="H36" s="3"/>
      <c r="I36" s="100">
        <v>122.2</v>
      </c>
      <c r="J36" s="11" t="s">
        <v>37</v>
      </c>
      <c r="K36" s="3"/>
      <c r="L36" s="101"/>
      <c r="M36" s="101"/>
      <c r="N36" s="101">
        <v>200</v>
      </c>
      <c r="O36" s="101"/>
      <c r="P36" s="101"/>
      <c r="Q36" s="3"/>
      <c r="R36" s="7">
        <f t="shared" si="5"/>
        <v>0</v>
      </c>
      <c r="S36" s="7">
        <f t="shared" si="1"/>
        <v>0</v>
      </c>
      <c r="T36" s="7">
        <f t="shared" si="2"/>
        <v>24440</v>
      </c>
      <c r="U36" s="7">
        <f t="shared" si="3"/>
        <v>0</v>
      </c>
      <c r="V36" s="7">
        <f t="shared" si="4"/>
        <v>0</v>
      </c>
    </row>
    <row r="37" spans="1:23" ht="12.75" customHeight="1" x14ac:dyDescent="0.3">
      <c r="A37" s="6"/>
      <c r="C37" s="93"/>
      <c r="D37" s="93"/>
      <c r="E37" s="93"/>
      <c r="F37" s="4"/>
      <c r="G37" s="4"/>
      <c r="H37" s="3"/>
      <c r="I37" s="93"/>
      <c r="K37" s="3"/>
      <c r="L37" s="93"/>
      <c r="M37" s="93"/>
      <c r="N37" s="114"/>
      <c r="O37" s="93"/>
      <c r="P37" s="93"/>
      <c r="Q37" s="3"/>
    </row>
    <row r="38" spans="1:23" ht="12.75" customHeight="1" x14ac:dyDescent="0.3">
      <c r="A38" s="6"/>
      <c r="C38" s="93"/>
      <c r="D38" s="93"/>
      <c r="E38" s="93"/>
      <c r="F38" s="4"/>
      <c r="G38" s="4"/>
      <c r="H38" s="3"/>
      <c r="I38" s="93"/>
      <c r="K38" s="3"/>
      <c r="L38" s="93"/>
      <c r="M38" s="93"/>
      <c r="N38" s="93"/>
      <c r="O38" s="93"/>
      <c r="P38" s="93"/>
      <c r="Q38" s="3"/>
    </row>
    <row r="39" spans="1:23" ht="12.75" customHeight="1" x14ac:dyDescent="0.3">
      <c r="A39" s="6"/>
      <c r="C39" s="102" t="s">
        <v>131</v>
      </c>
      <c r="D39" s="99" t="s">
        <v>4</v>
      </c>
      <c r="E39" s="99" t="s">
        <v>0</v>
      </c>
      <c r="F39" s="99" t="s">
        <v>121</v>
      </c>
      <c r="G39" s="143" t="s">
        <v>49</v>
      </c>
      <c r="H39" s="3"/>
      <c r="I39" s="109">
        <v>400000</v>
      </c>
      <c r="J39" s="11" t="s">
        <v>38</v>
      </c>
      <c r="K39" s="3"/>
      <c r="L39" s="101">
        <v>1</v>
      </c>
      <c r="M39" s="101"/>
      <c r="N39" s="101"/>
      <c r="O39" s="101"/>
      <c r="P39" s="101"/>
      <c r="Q39" s="3"/>
      <c r="R39" s="7">
        <f t="shared" ref="R39" si="6">L39*$I39</f>
        <v>400000</v>
      </c>
      <c r="S39" s="7">
        <f t="shared" ref="S39:S43" si="7">M39*$I39</f>
        <v>0</v>
      </c>
      <c r="T39" s="7">
        <f t="shared" ref="T39:T43" si="8">N39*$I39</f>
        <v>0</v>
      </c>
      <c r="U39" s="7">
        <f t="shared" ref="U39:U43" si="9">O39*$I39</f>
        <v>0</v>
      </c>
      <c r="V39" s="7">
        <f t="shared" ref="V39:V43" si="10">P39*$I39</f>
        <v>0</v>
      </c>
    </row>
    <row r="40" spans="1:23" s="93" customFormat="1" ht="12.75" customHeight="1" x14ac:dyDescent="0.3">
      <c r="A40" s="6"/>
      <c r="C40" s="102" t="s">
        <v>132</v>
      </c>
      <c r="D40" s="99" t="s">
        <v>4</v>
      </c>
      <c r="E40" s="99" t="s">
        <v>0</v>
      </c>
      <c r="F40" s="99" t="s">
        <v>121</v>
      </c>
      <c r="G40" s="143" t="s">
        <v>49</v>
      </c>
      <c r="H40" s="3"/>
      <c r="I40" s="109">
        <v>50000</v>
      </c>
      <c r="J40" s="11" t="s">
        <v>38</v>
      </c>
      <c r="K40" s="3"/>
      <c r="L40" s="101">
        <v>1</v>
      </c>
      <c r="M40" s="101"/>
      <c r="N40" s="101"/>
      <c r="O40" s="101"/>
      <c r="P40" s="101"/>
      <c r="Q40" s="3"/>
      <c r="R40" s="7">
        <f t="shared" ref="R40:R43" si="11">L40*$I40</f>
        <v>50000</v>
      </c>
      <c r="S40" s="7">
        <f t="shared" si="7"/>
        <v>0</v>
      </c>
      <c r="T40" s="7">
        <f t="shared" si="8"/>
        <v>0</v>
      </c>
      <c r="U40" s="7">
        <f t="shared" si="9"/>
        <v>0</v>
      </c>
      <c r="V40" s="7">
        <f t="shared" si="10"/>
        <v>0</v>
      </c>
    </row>
    <row r="41" spans="1:23" s="93" customFormat="1" ht="12.75" customHeight="1" x14ac:dyDescent="0.3">
      <c r="A41" s="6"/>
      <c r="C41" s="102" t="s">
        <v>160</v>
      </c>
      <c r="D41" s="99" t="s">
        <v>4</v>
      </c>
      <c r="E41" s="99" t="s">
        <v>0</v>
      </c>
      <c r="F41" s="99" t="s">
        <v>121</v>
      </c>
      <c r="G41" s="143" t="s">
        <v>134</v>
      </c>
      <c r="H41" s="3"/>
      <c r="I41" s="109">
        <v>50000</v>
      </c>
      <c r="J41" s="11" t="s">
        <v>38</v>
      </c>
      <c r="K41" s="3"/>
      <c r="L41" s="101">
        <v>1</v>
      </c>
      <c r="M41" s="101"/>
      <c r="N41" s="101"/>
      <c r="O41" s="101"/>
      <c r="P41" s="101"/>
      <c r="Q41" s="3"/>
      <c r="R41" s="7">
        <f t="shared" si="11"/>
        <v>50000</v>
      </c>
      <c r="S41" s="7">
        <f t="shared" si="7"/>
        <v>0</v>
      </c>
      <c r="T41" s="7">
        <f t="shared" si="8"/>
        <v>0</v>
      </c>
      <c r="U41" s="7">
        <f t="shared" si="9"/>
        <v>0</v>
      </c>
      <c r="V41" s="7">
        <f t="shared" si="10"/>
        <v>0</v>
      </c>
    </row>
    <row r="42" spans="1:23" s="93" customFormat="1" ht="12.75" customHeight="1" x14ac:dyDescent="0.3">
      <c r="A42" s="6"/>
      <c r="C42" s="102" t="s">
        <v>161</v>
      </c>
      <c r="D42" s="99" t="s">
        <v>4</v>
      </c>
      <c r="E42" s="99" t="s">
        <v>0</v>
      </c>
      <c r="F42" s="99" t="s">
        <v>121</v>
      </c>
      <c r="G42" s="143" t="s">
        <v>134</v>
      </c>
      <c r="H42" s="3"/>
      <c r="I42" s="109">
        <v>50000</v>
      </c>
      <c r="J42" s="11" t="s">
        <v>38</v>
      </c>
      <c r="K42" s="3"/>
      <c r="L42" s="101"/>
      <c r="M42" s="101">
        <v>1</v>
      </c>
      <c r="N42" s="101"/>
      <c r="O42" s="101"/>
      <c r="P42" s="101"/>
      <c r="Q42" s="3"/>
      <c r="R42" s="7">
        <f t="shared" si="11"/>
        <v>0</v>
      </c>
      <c r="S42" s="7">
        <f t="shared" si="7"/>
        <v>50000</v>
      </c>
      <c r="T42" s="7">
        <f t="shared" si="8"/>
        <v>0</v>
      </c>
      <c r="U42" s="7">
        <f t="shared" si="9"/>
        <v>0</v>
      </c>
      <c r="V42" s="7">
        <f t="shared" si="10"/>
        <v>0</v>
      </c>
    </row>
    <row r="43" spans="1:23" s="93" customFormat="1" ht="12.75" customHeight="1" x14ac:dyDescent="0.3">
      <c r="A43" s="6"/>
      <c r="C43" s="102" t="s">
        <v>135</v>
      </c>
      <c r="D43" s="99" t="s">
        <v>4</v>
      </c>
      <c r="E43" s="99" t="s">
        <v>0</v>
      </c>
      <c r="F43" s="99" t="s">
        <v>121</v>
      </c>
      <c r="G43" s="143" t="s">
        <v>134</v>
      </c>
      <c r="H43" s="3"/>
      <c r="I43" s="109">
        <v>50000</v>
      </c>
      <c r="J43" s="11" t="s">
        <v>38</v>
      </c>
      <c r="K43" s="3"/>
      <c r="L43" s="101"/>
      <c r="M43" s="101">
        <v>1</v>
      </c>
      <c r="N43" s="101"/>
      <c r="O43" s="101"/>
      <c r="P43" s="101"/>
      <c r="Q43" s="3"/>
      <c r="R43" s="7">
        <f t="shared" si="11"/>
        <v>0</v>
      </c>
      <c r="S43" s="7">
        <f t="shared" si="7"/>
        <v>50000</v>
      </c>
      <c r="T43" s="7">
        <f t="shared" si="8"/>
        <v>0</v>
      </c>
      <c r="U43" s="7">
        <f t="shared" si="9"/>
        <v>0</v>
      </c>
      <c r="V43" s="7">
        <f t="shared" si="10"/>
        <v>0</v>
      </c>
    </row>
    <row r="44" spans="1:23" ht="12.75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2.75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2.75" customHeight="1" x14ac:dyDescent="0.3">
      <c r="H46" s="3"/>
      <c r="K46" s="3"/>
      <c r="Q46" s="3"/>
    </row>
    <row r="47" spans="1:23" ht="12.75" customHeight="1" x14ac:dyDescent="0.3">
      <c r="H47" s="3"/>
      <c r="K47" s="3"/>
      <c r="Q47" s="3"/>
    </row>
    <row r="48" spans="1:23" ht="12.75" customHeight="1" x14ac:dyDescent="0.3">
      <c r="C48" s="5" t="s">
        <v>12</v>
      </c>
      <c r="H48" s="3"/>
      <c r="K48" s="3"/>
      <c r="Q48" s="3"/>
    </row>
    <row r="49" spans="3:24" ht="12.75" customHeight="1" x14ac:dyDescent="0.3">
      <c r="C49" s="26" t="s">
        <v>1</v>
      </c>
      <c r="D49" s="26" t="s">
        <v>4</v>
      </c>
      <c r="E49" s="26"/>
      <c r="F49" s="26"/>
      <c r="G49" s="26"/>
      <c r="H49" s="3"/>
      <c r="I49" s="26"/>
      <c r="J49" s="27"/>
      <c r="K49" s="3"/>
      <c r="L49" s="26"/>
      <c r="M49" s="26"/>
      <c r="N49" s="26"/>
      <c r="O49" s="26"/>
      <c r="P49" s="26"/>
      <c r="Q49" s="3"/>
      <c r="R49" s="28">
        <f>SUMIFS(R$10:R$43,$E$10:$E$43,$C49,$D$10:$D$43,$D49)</f>
        <v>7038109</v>
      </c>
      <c r="S49" s="28">
        <f t="shared" ref="S49:V54" si="12">SUMIFS(S$10:S$43,$E$10:$E$43,$C49,$D$10:$D$43,$D49)</f>
        <v>2181881</v>
      </c>
      <c r="T49" s="28">
        <f t="shared" si="12"/>
        <v>207740</v>
      </c>
      <c r="U49" s="28">
        <f t="shared" si="12"/>
        <v>0</v>
      </c>
      <c r="V49" s="28">
        <f t="shared" si="12"/>
        <v>0</v>
      </c>
    </row>
    <row r="50" spans="3:24" ht="12.75" customHeight="1" x14ac:dyDescent="0.3">
      <c r="C50" s="4" t="s">
        <v>0</v>
      </c>
      <c r="D50" s="4" t="s">
        <v>4</v>
      </c>
      <c r="E50" s="4"/>
      <c r="F50" s="4"/>
      <c r="G50" s="4"/>
      <c r="H50" s="3"/>
      <c r="I50" s="4"/>
      <c r="J50" s="12"/>
      <c r="K50" s="3"/>
      <c r="L50" s="4"/>
      <c r="M50" s="4"/>
      <c r="N50" s="4"/>
      <c r="O50" s="4"/>
      <c r="P50" s="4"/>
      <c r="Q50" s="3"/>
      <c r="R50" s="8">
        <f t="shared" ref="R50:R54" si="13">SUMIFS(R$10:R$43,$E$10:$E$43,$C50,$D$10:$D$43,$D50)</f>
        <v>500000</v>
      </c>
      <c r="S50" s="8">
        <f t="shared" si="12"/>
        <v>100000</v>
      </c>
      <c r="T50" s="8">
        <f t="shared" si="12"/>
        <v>0</v>
      </c>
      <c r="U50" s="8">
        <f t="shared" si="12"/>
        <v>0</v>
      </c>
      <c r="V50" s="8">
        <f t="shared" si="12"/>
        <v>0</v>
      </c>
    </row>
    <row r="51" spans="3:24" ht="12.75" customHeight="1" x14ac:dyDescent="0.3">
      <c r="C51" s="4" t="s">
        <v>3</v>
      </c>
      <c r="D51" s="4" t="s">
        <v>4</v>
      </c>
      <c r="E51" s="4"/>
      <c r="F51" s="4"/>
      <c r="G51" s="4"/>
      <c r="H51" s="3"/>
      <c r="I51" s="4"/>
      <c r="J51" s="12"/>
      <c r="K51" s="3"/>
      <c r="L51" s="4"/>
      <c r="M51" s="4"/>
      <c r="N51" s="4"/>
      <c r="O51" s="4"/>
      <c r="P51" s="4"/>
      <c r="Q51" s="3"/>
      <c r="R51" s="8">
        <f t="shared" si="13"/>
        <v>0</v>
      </c>
      <c r="S51" s="8">
        <f t="shared" si="12"/>
        <v>0</v>
      </c>
      <c r="T51" s="8">
        <f t="shared" si="12"/>
        <v>0</v>
      </c>
      <c r="U51" s="8">
        <f t="shared" si="12"/>
        <v>0</v>
      </c>
      <c r="V51" s="8">
        <f t="shared" si="12"/>
        <v>0</v>
      </c>
    </row>
    <row r="52" spans="3:24" ht="12.75" customHeight="1" x14ac:dyDescent="0.3">
      <c r="C52" s="4" t="s">
        <v>1</v>
      </c>
      <c r="D52" s="4" t="s">
        <v>36</v>
      </c>
      <c r="E52" s="4"/>
      <c r="F52" s="4"/>
      <c r="G52" s="4"/>
      <c r="H52" s="3"/>
      <c r="I52" s="4"/>
      <c r="J52" s="12"/>
      <c r="K52" s="3"/>
      <c r="L52" s="4"/>
      <c r="M52" s="4"/>
      <c r="N52" s="4"/>
      <c r="O52" s="4"/>
      <c r="P52" s="4"/>
      <c r="Q52" s="3"/>
      <c r="R52" s="8">
        <f t="shared" si="13"/>
        <v>0</v>
      </c>
      <c r="S52" s="8">
        <f t="shared" si="12"/>
        <v>0</v>
      </c>
      <c r="T52" s="8">
        <f t="shared" si="12"/>
        <v>0</v>
      </c>
      <c r="U52" s="8">
        <f t="shared" si="12"/>
        <v>0</v>
      </c>
      <c r="V52" s="8">
        <f t="shared" si="12"/>
        <v>0</v>
      </c>
    </row>
    <row r="53" spans="3:24" ht="12.75" customHeight="1" x14ac:dyDescent="0.3">
      <c r="C53" s="4" t="s">
        <v>0</v>
      </c>
      <c r="D53" s="4" t="s">
        <v>36</v>
      </c>
      <c r="E53" s="4"/>
      <c r="F53" s="4"/>
      <c r="G53" s="4"/>
      <c r="H53" s="3"/>
      <c r="I53" s="4"/>
      <c r="J53" s="12"/>
      <c r="K53" s="3"/>
      <c r="L53" s="4"/>
      <c r="M53" s="4"/>
      <c r="N53" s="4"/>
      <c r="O53" s="4"/>
      <c r="P53" s="4"/>
      <c r="Q53" s="3"/>
      <c r="R53" s="8">
        <f t="shared" si="13"/>
        <v>0</v>
      </c>
      <c r="S53" s="8">
        <f t="shared" si="12"/>
        <v>0</v>
      </c>
      <c r="T53" s="8">
        <f t="shared" si="12"/>
        <v>0</v>
      </c>
      <c r="U53" s="8">
        <f t="shared" si="12"/>
        <v>0</v>
      </c>
      <c r="V53" s="8">
        <f t="shared" si="12"/>
        <v>0</v>
      </c>
    </row>
    <row r="54" spans="3:24" ht="12.75" customHeight="1" x14ac:dyDescent="0.3">
      <c r="C54" s="4" t="s">
        <v>3</v>
      </c>
      <c r="D54" s="4" t="s">
        <v>36</v>
      </c>
      <c r="E54" s="6"/>
      <c r="F54" s="6"/>
      <c r="G54" s="6"/>
      <c r="H54" s="3"/>
      <c r="I54" s="6"/>
      <c r="J54" s="29"/>
      <c r="K54" s="3"/>
      <c r="L54" s="6"/>
      <c r="M54" s="6"/>
      <c r="N54" s="6"/>
      <c r="O54" s="6"/>
      <c r="P54" s="6"/>
      <c r="Q54" s="3"/>
      <c r="R54" s="8">
        <f t="shared" si="13"/>
        <v>0</v>
      </c>
      <c r="S54" s="8">
        <f t="shared" si="12"/>
        <v>0</v>
      </c>
      <c r="T54" s="8">
        <f t="shared" si="12"/>
        <v>0</v>
      </c>
      <c r="U54" s="8">
        <f t="shared" si="12"/>
        <v>0</v>
      </c>
      <c r="V54" s="8">
        <f t="shared" si="12"/>
        <v>0</v>
      </c>
    </row>
    <row r="55" spans="3:24" ht="12.75" customHeight="1" x14ac:dyDescent="0.3">
      <c r="C55" s="183" t="str">
        <f>"Total Expenditure ($ "&amp;Assumptions!$B$8&amp;")"</f>
        <v>Total Expenditure ($ 2018)</v>
      </c>
      <c r="D55" s="9"/>
      <c r="E55" s="9"/>
      <c r="F55" s="9"/>
      <c r="G55" s="9"/>
      <c r="H55" s="3"/>
      <c r="I55" s="9"/>
      <c r="J55" s="13"/>
      <c r="K55" s="3"/>
      <c r="L55" s="9"/>
      <c r="M55" s="9"/>
      <c r="N55" s="9"/>
      <c r="O55" s="9"/>
      <c r="P55" s="9"/>
      <c r="Q55" s="3"/>
      <c r="R55" s="10">
        <f>SUM(R49:R54)</f>
        <v>7538109</v>
      </c>
      <c r="S55" s="10">
        <f t="shared" ref="S55:V55" si="14">SUM(S49:S54)</f>
        <v>2281881</v>
      </c>
      <c r="T55" s="10">
        <f t="shared" si="14"/>
        <v>207740</v>
      </c>
      <c r="U55" s="10">
        <f t="shared" si="14"/>
        <v>0</v>
      </c>
      <c r="V55" s="10">
        <f t="shared" si="14"/>
        <v>0</v>
      </c>
      <c r="W55" s="40"/>
    </row>
    <row r="56" spans="3:24" ht="12.75" customHeight="1" x14ac:dyDescent="0.3">
      <c r="C56" s="184" t="str">
        <f>"Total Expenditure ($ "&amp;Assumptions!B15&amp;")"</f>
        <v>Total Expenditure ($ 2020/21)</v>
      </c>
      <c r="D56" s="26"/>
      <c r="E56" s="26"/>
      <c r="F56" s="4"/>
      <c r="G56" s="4"/>
      <c r="H56" s="3"/>
      <c r="I56" s="26"/>
      <c r="J56" s="27"/>
      <c r="K56" s="3"/>
      <c r="L56" s="26"/>
      <c r="M56" s="26"/>
      <c r="N56" s="26"/>
      <c r="O56" s="26"/>
      <c r="P56" s="26"/>
      <c r="Q56" s="3"/>
      <c r="R56" s="41">
        <f>R55*Assumptions!$B$16</f>
        <v>7988768.1635432243</v>
      </c>
      <c r="S56" s="41">
        <f>S55*Assumptions!$B$16</f>
        <v>2418301.2325497251</v>
      </c>
      <c r="T56" s="41">
        <f>T55*Assumptions!$B$16</f>
        <v>220159.55172503734</v>
      </c>
      <c r="U56" s="41">
        <f>U55*Assumptions!$B$16</f>
        <v>0</v>
      </c>
      <c r="V56" s="41">
        <f>V55*Assumptions!$B$16</f>
        <v>0</v>
      </c>
      <c r="W56" s="40"/>
    </row>
    <row r="57" spans="3:24" ht="12.75" customHeight="1" x14ac:dyDescent="0.3">
      <c r="C57" s="94" t="s">
        <v>11</v>
      </c>
      <c r="D57" s="94"/>
      <c r="E57" s="94"/>
      <c r="F57" s="94"/>
      <c r="G57" s="94"/>
      <c r="H57" s="3"/>
      <c r="I57" s="94"/>
      <c r="J57" s="94"/>
      <c r="K57" s="3"/>
      <c r="L57" s="94"/>
      <c r="M57" s="94"/>
      <c r="N57" s="94"/>
      <c r="O57" s="94"/>
      <c r="P57" s="94"/>
      <c r="Q57" s="3"/>
      <c r="R57" s="185">
        <f>R55-SUM(R10:R43)</f>
        <v>0</v>
      </c>
      <c r="S57" s="185">
        <f t="shared" ref="S57:V57" si="15">S55-SUM(S10:S43)</f>
        <v>0</v>
      </c>
      <c r="T57" s="185">
        <f t="shared" si="15"/>
        <v>0</v>
      </c>
      <c r="U57" s="185">
        <f t="shared" si="15"/>
        <v>0</v>
      </c>
      <c r="V57" s="185">
        <f t="shared" si="15"/>
        <v>0</v>
      </c>
      <c r="X57" s="185">
        <f>SUM(R57:V57)</f>
        <v>0</v>
      </c>
    </row>
    <row r="58" spans="3:24" ht="12.75" customHeight="1" x14ac:dyDescent="0.3">
      <c r="H58" s="3"/>
      <c r="K58" s="3"/>
      <c r="Q58" s="3"/>
    </row>
    <row r="59" spans="3:24" ht="12.75" customHeight="1" x14ac:dyDescent="0.3">
      <c r="D59" s="130"/>
    </row>
    <row r="60" spans="3:24" ht="12.75" customHeight="1" x14ac:dyDescent="0.3">
      <c r="C60" s="5" t="s">
        <v>162</v>
      </c>
      <c r="D60" s="113"/>
      <c r="E60" s="93"/>
    </row>
    <row r="61" spans="3:24" x14ac:dyDescent="0.3">
      <c r="C61" s="26" t="s">
        <v>1</v>
      </c>
      <c r="D61" s="26" t="s">
        <v>4</v>
      </c>
      <c r="E61" s="26"/>
      <c r="F61" s="26" t="s">
        <v>121</v>
      </c>
      <c r="G61" s="27" t="s">
        <v>134</v>
      </c>
      <c r="I61" s="144"/>
      <c r="J61" s="144"/>
      <c r="R61" s="28">
        <f t="shared" ref="R61:V66" si="16">SUMIFS(R$10:R$43,$E$10:$E$43,$C61,$D$10:$D$43,$D61,$G$10:$G$43,$G61)*Conv_2021</f>
        <v>530973.03651332541</v>
      </c>
      <c r="S61" s="28">
        <f t="shared" si="16"/>
        <v>2312322.8212062009</v>
      </c>
      <c r="T61" s="28">
        <f t="shared" si="16"/>
        <v>220159.55172503734</v>
      </c>
      <c r="U61" s="28">
        <f t="shared" si="16"/>
        <v>0</v>
      </c>
      <c r="V61" s="28">
        <f t="shared" si="16"/>
        <v>0</v>
      </c>
    </row>
    <row r="62" spans="3:24" x14ac:dyDescent="0.3">
      <c r="C62" s="93" t="s">
        <v>0</v>
      </c>
      <c r="D62" s="93" t="s">
        <v>4</v>
      </c>
      <c r="E62" s="93"/>
      <c r="F62" s="93" t="s">
        <v>121</v>
      </c>
      <c r="G62" s="12" t="s">
        <v>134</v>
      </c>
      <c r="I62" s="145"/>
      <c r="J62" s="145"/>
      <c r="R62" s="8">
        <f t="shared" si="16"/>
        <v>52989.205671762138</v>
      </c>
      <c r="S62" s="8">
        <f t="shared" si="16"/>
        <v>105978.41134352428</v>
      </c>
      <c r="T62" s="8">
        <f t="shared" si="16"/>
        <v>0</v>
      </c>
      <c r="U62" s="8">
        <f t="shared" si="16"/>
        <v>0</v>
      </c>
      <c r="V62" s="8">
        <f t="shared" si="16"/>
        <v>0</v>
      </c>
    </row>
    <row r="63" spans="3:24" x14ac:dyDescent="0.3">
      <c r="C63" s="93" t="s">
        <v>3</v>
      </c>
      <c r="D63" s="93" t="s">
        <v>4</v>
      </c>
      <c r="E63" s="93"/>
      <c r="F63" s="93" t="s">
        <v>121</v>
      </c>
      <c r="G63" s="12" t="s">
        <v>134</v>
      </c>
      <c r="I63" s="145"/>
      <c r="J63" s="145"/>
      <c r="R63" s="8">
        <f t="shared" si="16"/>
        <v>0</v>
      </c>
      <c r="S63" s="8">
        <f t="shared" si="16"/>
        <v>0</v>
      </c>
      <c r="T63" s="8">
        <f t="shared" si="16"/>
        <v>0</v>
      </c>
      <c r="U63" s="8">
        <f t="shared" si="16"/>
        <v>0</v>
      </c>
      <c r="V63" s="8">
        <f t="shared" si="16"/>
        <v>0</v>
      </c>
    </row>
    <row r="64" spans="3:24" x14ac:dyDescent="0.3">
      <c r="C64" s="93" t="s">
        <v>1</v>
      </c>
      <c r="D64" s="93" t="s">
        <v>4</v>
      </c>
      <c r="E64" s="93"/>
      <c r="F64" s="93" t="s">
        <v>121</v>
      </c>
      <c r="G64" s="11" t="s">
        <v>49</v>
      </c>
      <c r="I64" s="145"/>
      <c r="J64" s="145"/>
      <c r="R64" s="8">
        <f t="shared" si="16"/>
        <v>6927903.0703122783</v>
      </c>
      <c r="S64" s="8">
        <f t="shared" si="16"/>
        <v>0</v>
      </c>
      <c r="T64" s="8">
        <f t="shared" si="16"/>
        <v>0</v>
      </c>
      <c r="U64" s="8">
        <f t="shared" si="16"/>
        <v>0</v>
      </c>
      <c r="V64" s="8">
        <f t="shared" si="16"/>
        <v>0</v>
      </c>
    </row>
    <row r="65" spans="3:24" x14ac:dyDescent="0.3">
      <c r="C65" s="93" t="s">
        <v>0</v>
      </c>
      <c r="D65" s="93" t="s">
        <v>4</v>
      </c>
      <c r="E65" s="93"/>
      <c r="F65" s="93" t="s">
        <v>121</v>
      </c>
      <c r="G65" s="11" t="s">
        <v>49</v>
      </c>
      <c r="I65" s="145"/>
      <c r="J65" s="145"/>
      <c r="R65" s="8">
        <f t="shared" si="16"/>
        <v>476902.85104585928</v>
      </c>
      <c r="S65" s="8">
        <f t="shared" si="16"/>
        <v>0</v>
      </c>
      <c r="T65" s="8">
        <f t="shared" si="16"/>
        <v>0</v>
      </c>
      <c r="U65" s="8">
        <f t="shared" si="16"/>
        <v>0</v>
      </c>
      <c r="V65" s="8">
        <f t="shared" si="16"/>
        <v>0</v>
      </c>
    </row>
    <row r="66" spans="3:24" x14ac:dyDescent="0.3">
      <c r="C66" s="93" t="s">
        <v>3</v>
      </c>
      <c r="D66" s="93" t="s">
        <v>4</v>
      </c>
      <c r="E66" s="93"/>
      <c r="F66" s="93" t="s">
        <v>121</v>
      </c>
      <c r="G66" s="11" t="s">
        <v>49</v>
      </c>
      <c r="I66" s="145"/>
      <c r="J66" s="145"/>
      <c r="R66" s="8">
        <f t="shared" si="16"/>
        <v>0</v>
      </c>
      <c r="S66" s="8">
        <f t="shared" si="16"/>
        <v>0</v>
      </c>
      <c r="T66" s="8">
        <f t="shared" si="16"/>
        <v>0</v>
      </c>
      <c r="U66" s="8">
        <f t="shared" si="16"/>
        <v>0</v>
      </c>
      <c r="V66" s="8">
        <f t="shared" si="16"/>
        <v>0</v>
      </c>
    </row>
    <row r="67" spans="3:24" x14ac:dyDescent="0.3">
      <c r="C67" s="9" t="s">
        <v>163</v>
      </c>
      <c r="D67" s="9"/>
      <c r="E67" s="9"/>
      <c r="F67" s="9"/>
      <c r="G67" s="9"/>
      <c r="I67" s="9"/>
      <c r="J67" s="9"/>
      <c r="R67" s="10">
        <f>SUM(R61:R66)</f>
        <v>7988768.1635432253</v>
      </c>
      <c r="S67" s="10">
        <f t="shared" ref="S67:V67" si="17">SUM(S61:S66)</f>
        <v>2418301.2325497251</v>
      </c>
      <c r="T67" s="10">
        <f t="shared" si="17"/>
        <v>220159.55172503734</v>
      </c>
      <c r="U67" s="10">
        <f t="shared" si="17"/>
        <v>0</v>
      </c>
      <c r="V67" s="10">
        <f t="shared" si="17"/>
        <v>0</v>
      </c>
    </row>
    <row r="69" spans="3:24" s="149" customFormat="1" ht="12.75" customHeight="1" x14ac:dyDescent="0.25">
      <c r="C69" s="94" t="s">
        <v>11</v>
      </c>
      <c r="D69" s="94"/>
      <c r="E69" s="94"/>
      <c r="F69" s="94"/>
      <c r="G69" s="94"/>
      <c r="H69" s="150"/>
      <c r="I69" s="94"/>
      <c r="J69" s="94"/>
      <c r="K69" s="150"/>
      <c r="L69" s="94"/>
      <c r="M69" s="94"/>
      <c r="N69" s="94"/>
      <c r="O69" s="94"/>
      <c r="P69" s="94"/>
      <c r="Q69" s="150"/>
      <c r="R69" s="186">
        <f>R67-R56</f>
        <v>0</v>
      </c>
      <c r="S69" s="186">
        <f>S67-S56</f>
        <v>0</v>
      </c>
      <c r="T69" s="186">
        <f>T67-T56</f>
        <v>0</v>
      </c>
      <c r="U69" s="186">
        <f>U67-U56</f>
        <v>0</v>
      </c>
      <c r="V69" s="186">
        <f>V67-V56</f>
        <v>0</v>
      </c>
      <c r="X69" s="185">
        <f>SUM(R69:V69)</f>
        <v>0</v>
      </c>
    </row>
    <row r="71" spans="3:24" s="93" customFormat="1" ht="12.75" customHeight="1" x14ac:dyDescent="0.3">
      <c r="C71" s="5" t="s">
        <v>162</v>
      </c>
      <c r="D71" s="113"/>
      <c r="J71" s="11"/>
    </row>
    <row r="72" spans="3:24" s="93" customFormat="1" x14ac:dyDescent="0.3">
      <c r="C72" s="26" t="s">
        <v>1</v>
      </c>
      <c r="D72" s="26" t="s">
        <v>4</v>
      </c>
      <c r="E72" s="26"/>
      <c r="F72" s="26" t="s">
        <v>121</v>
      </c>
      <c r="G72" s="27" t="s">
        <v>128</v>
      </c>
      <c r="I72" s="187" t="str">
        <f>C72&amp;G72</f>
        <v>LabourVPN</v>
      </c>
      <c r="J72" s="144"/>
      <c r="R72" s="28">
        <f>R61*Assumptions!$B$29</f>
        <v>335784.04587082105</v>
      </c>
      <c r="S72" s="28">
        <f>S61*Assumptions!$B$29</f>
        <v>1462298.5704935389</v>
      </c>
      <c r="T72" s="28">
        <f>T61*Assumptions!$B$29</f>
        <v>139227.53121473067</v>
      </c>
      <c r="U72" s="28">
        <f>U61*Assumptions!$B$29</f>
        <v>0</v>
      </c>
      <c r="V72" s="28">
        <f>V61*Assumptions!$B$29</f>
        <v>0</v>
      </c>
    </row>
    <row r="73" spans="3:24" s="93" customFormat="1" x14ac:dyDescent="0.3">
      <c r="C73" s="93" t="s">
        <v>0</v>
      </c>
      <c r="D73" s="93" t="s">
        <v>4</v>
      </c>
      <c r="F73" s="93" t="s">
        <v>121</v>
      </c>
      <c r="G73" s="12" t="s">
        <v>128</v>
      </c>
      <c r="I73" s="188" t="str">
        <f t="shared" ref="I73:I77" si="18">C73&amp;G73</f>
        <v>MaterialsVPN</v>
      </c>
      <c r="J73" s="145"/>
      <c r="R73" s="8">
        <f>R62*Assumptions!$B$29</f>
        <v>33510.044097123973</v>
      </c>
      <c r="S73" s="8">
        <f>S62*Assumptions!$B$29</f>
        <v>67020.088194247946</v>
      </c>
      <c r="T73" s="8">
        <f>T62*Assumptions!$B$29</f>
        <v>0</v>
      </c>
      <c r="U73" s="8">
        <f>U62*Assumptions!$B$29</f>
        <v>0</v>
      </c>
      <c r="V73" s="8">
        <f>V62*Assumptions!$B$29</f>
        <v>0</v>
      </c>
    </row>
    <row r="74" spans="3:24" s="93" customFormat="1" x14ac:dyDescent="0.3">
      <c r="C74" s="93" t="s">
        <v>3</v>
      </c>
      <c r="D74" s="93" t="s">
        <v>4</v>
      </c>
      <c r="F74" s="93" t="s">
        <v>121</v>
      </c>
      <c r="G74" s="12" t="s">
        <v>128</v>
      </c>
      <c r="I74" s="188" t="str">
        <f t="shared" si="18"/>
        <v>ContractsVPN</v>
      </c>
      <c r="J74" s="145"/>
      <c r="R74" s="8">
        <f>R63*Assumptions!$B$29</f>
        <v>0</v>
      </c>
      <c r="S74" s="8">
        <f>S63*Assumptions!$B$29</f>
        <v>0</v>
      </c>
      <c r="T74" s="8">
        <f>T63*Assumptions!$B$29</f>
        <v>0</v>
      </c>
      <c r="U74" s="8">
        <f>U63*Assumptions!$B$29</f>
        <v>0</v>
      </c>
      <c r="V74" s="8">
        <f>V63*Assumptions!$B$29</f>
        <v>0</v>
      </c>
    </row>
    <row r="75" spans="3:24" s="93" customFormat="1" x14ac:dyDescent="0.3">
      <c r="C75" s="93" t="s">
        <v>1</v>
      </c>
      <c r="D75" s="93" t="s">
        <v>4</v>
      </c>
      <c r="F75" s="93" t="s">
        <v>121</v>
      </c>
      <c r="G75" s="11" t="s">
        <v>49</v>
      </c>
      <c r="I75" s="188" t="str">
        <f t="shared" si="18"/>
        <v>LabourUE</v>
      </c>
      <c r="J75" s="145"/>
      <c r="R75" s="8">
        <f>R64+(R61*Assumptions!$B$30)</f>
        <v>7123092.0609547831</v>
      </c>
      <c r="S75" s="8">
        <f>S64+(S61*Assumptions!$B$30)</f>
        <v>850024.250712662</v>
      </c>
      <c r="T75" s="8">
        <f>T64+(T61*Assumptions!$B$30)</f>
        <v>80932.020510306669</v>
      </c>
      <c r="U75" s="8">
        <f>U64+(U61*Assumptions!$B$30)</f>
        <v>0</v>
      </c>
      <c r="V75" s="8">
        <f>V64+(V61*Assumptions!$B$30)</f>
        <v>0</v>
      </c>
    </row>
    <row r="76" spans="3:24" s="93" customFormat="1" x14ac:dyDescent="0.3">
      <c r="C76" s="93" t="s">
        <v>0</v>
      </c>
      <c r="D76" s="93" t="s">
        <v>4</v>
      </c>
      <c r="F76" s="93" t="s">
        <v>121</v>
      </c>
      <c r="G76" s="11" t="s">
        <v>49</v>
      </c>
      <c r="I76" s="188" t="str">
        <f t="shared" si="18"/>
        <v>MaterialsUE</v>
      </c>
      <c r="J76" s="145"/>
      <c r="R76" s="8">
        <f>R65+(R62*Assumptions!$B$30)</f>
        <v>496382.01262049744</v>
      </c>
      <c r="S76" s="8">
        <f>S65+(S62*Assumptions!$B$30)</f>
        <v>38958.323149276337</v>
      </c>
      <c r="T76" s="8">
        <f>T65+(T62*Assumptions!$B$30)</f>
        <v>0</v>
      </c>
      <c r="U76" s="8">
        <f>U65+(U62*Assumptions!$B$30)</f>
        <v>0</v>
      </c>
      <c r="V76" s="8">
        <f>V65+(V62*Assumptions!$B$30)</f>
        <v>0</v>
      </c>
    </row>
    <row r="77" spans="3:24" s="93" customFormat="1" x14ac:dyDescent="0.3">
      <c r="C77" s="93" t="s">
        <v>3</v>
      </c>
      <c r="D77" s="93" t="s">
        <v>4</v>
      </c>
      <c r="F77" s="93" t="s">
        <v>121</v>
      </c>
      <c r="G77" s="11" t="s">
        <v>49</v>
      </c>
      <c r="I77" s="188" t="str">
        <f t="shared" si="18"/>
        <v>ContractsUE</v>
      </c>
      <c r="J77" s="145"/>
      <c r="R77" s="8">
        <f>R66+(R63*Assumptions!$B$30)</f>
        <v>0</v>
      </c>
      <c r="S77" s="8">
        <f>S66+(S63*Assumptions!$B$30)</f>
        <v>0</v>
      </c>
      <c r="T77" s="8">
        <f>T66+(T63*Assumptions!$B$30)</f>
        <v>0</v>
      </c>
      <c r="U77" s="8">
        <f>U66+(U63*Assumptions!$B$30)</f>
        <v>0</v>
      </c>
      <c r="V77" s="8">
        <f>V66+(V63*Assumptions!$B$30)</f>
        <v>0</v>
      </c>
    </row>
    <row r="78" spans="3:24" s="93" customFormat="1" x14ac:dyDescent="0.3">
      <c r="C78" s="9" t="s">
        <v>163</v>
      </c>
      <c r="D78" s="9"/>
      <c r="E78" s="9"/>
      <c r="F78" s="9"/>
      <c r="G78" s="9"/>
      <c r="I78" s="9"/>
      <c r="J78" s="9"/>
      <c r="R78" s="10">
        <f>SUM(R72:R77)</f>
        <v>7988768.1635432253</v>
      </c>
      <c r="S78" s="10">
        <f t="shared" ref="S78:V78" si="19">SUM(S72:S77)</f>
        <v>2418301.2325497256</v>
      </c>
      <c r="T78" s="10">
        <f t="shared" si="19"/>
        <v>220159.55172503734</v>
      </c>
      <c r="U78" s="10">
        <f t="shared" si="19"/>
        <v>0</v>
      </c>
      <c r="V78" s="10">
        <f t="shared" si="19"/>
        <v>0</v>
      </c>
    </row>
    <row r="79" spans="3:24" s="93" customFormat="1" x14ac:dyDescent="0.3">
      <c r="J79" s="11"/>
    </row>
    <row r="80" spans="3:24" s="149" customFormat="1" ht="12.75" customHeight="1" x14ac:dyDescent="0.25">
      <c r="C80" s="94" t="s">
        <v>11</v>
      </c>
      <c r="D80" s="94"/>
      <c r="E80" s="94"/>
      <c r="F80" s="94"/>
      <c r="G80" s="94"/>
      <c r="H80" s="150"/>
      <c r="I80" s="94"/>
      <c r="J80" s="94"/>
      <c r="K80" s="150"/>
      <c r="L80" s="94"/>
      <c r="M80" s="94"/>
      <c r="N80" s="94"/>
      <c r="O80" s="94"/>
      <c r="P80" s="94"/>
      <c r="Q80" s="150"/>
      <c r="R80" s="186">
        <f>R78-R67</f>
        <v>0</v>
      </c>
      <c r="S80" s="186">
        <f t="shared" ref="S80:V80" si="20">S78-S67</f>
        <v>0</v>
      </c>
      <c r="T80" s="186">
        <f t="shared" si="20"/>
        <v>0</v>
      </c>
      <c r="U80" s="186">
        <f t="shared" si="20"/>
        <v>0</v>
      </c>
      <c r="V80" s="186">
        <f t="shared" si="20"/>
        <v>0</v>
      </c>
      <c r="X80" s="185">
        <f>SUM(R80:V80)</f>
        <v>0</v>
      </c>
    </row>
    <row r="82" spans="3:22" x14ac:dyDescent="0.3">
      <c r="C82" s="189" t="str">
        <f>"NPV ($ "&amp;Assumptions!$B$15&amp;")"</f>
        <v>NPV ($ 2020/21)</v>
      </c>
      <c r="D82" s="190">
        <f>NPV(Assumptions!$B$6,R56:V56)</f>
        <v>10268494.952519322</v>
      </c>
    </row>
    <row r="86" spans="3:22" x14ac:dyDescent="0.3">
      <c r="C86" s="154" t="s">
        <v>169</v>
      </c>
      <c r="D86" s="154"/>
      <c r="E86" s="154"/>
      <c r="F86" s="154"/>
      <c r="G86" s="154"/>
      <c r="H86" s="154"/>
      <c r="I86" s="154"/>
      <c r="J86" s="155"/>
      <c r="K86" s="154"/>
      <c r="L86" s="154"/>
      <c r="M86" s="154"/>
      <c r="N86" s="154"/>
      <c r="O86" s="154"/>
      <c r="P86" s="154"/>
      <c r="Q86" s="154"/>
      <c r="R86" s="156">
        <f>SUM(R10:R15,R39:R40)</f>
        <v>6987089</v>
      </c>
      <c r="S86" s="156">
        <f t="shared" ref="S86:V86" si="21">SUM(S10:S15,S39:S40)</f>
        <v>0</v>
      </c>
      <c r="T86" s="156">
        <f t="shared" si="21"/>
        <v>0</v>
      </c>
      <c r="U86" s="156">
        <f t="shared" si="21"/>
        <v>0</v>
      </c>
      <c r="V86" s="156">
        <f t="shared" si="21"/>
        <v>0</v>
      </c>
    </row>
    <row r="89" spans="3:22" x14ac:dyDescent="0.3">
      <c r="R89" s="134"/>
    </row>
  </sheetData>
  <sortState xmlns:xlrd2="http://schemas.microsoft.com/office/spreadsheetml/2017/richdata2" ref="B100:B102">
    <sortCondition ref="B100:B102"/>
  </sortState>
  <mergeCells count="2">
    <mergeCell ref="L5:P5"/>
    <mergeCell ref="R5:V5"/>
  </mergeCells>
  <conditionalFormatting sqref="R57:V57">
    <cfRule type="expression" dxfId="5" priority="35">
      <formula>ABS(R57)&gt;0.001</formula>
    </cfRule>
  </conditionalFormatting>
  <conditionalFormatting sqref="R69:V69">
    <cfRule type="expression" dxfId="4" priority="5">
      <formula>ABS(R69)&gt;0.001</formula>
    </cfRule>
  </conditionalFormatting>
  <conditionalFormatting sqref="R80:V80">
    <cfRule type="expression" dxfId="3" priority="4">
      <formula>ABS(R80)&gt;0.001</formula>
    </cfRule>
  </conditionalFormatting>
  <conditionalFormatting sqref="X57">
    <cfRule type="expression" dxfId="2" priority="3">
      <formula>ABS(X57)&gt;0.001</formula>
    </cfRule>
  </conditionalFormatting>
  <conditionalFormatting sqref="X69">
    <cfRule type="expression" dxfId="1" priority="2">
      <formula>ABS(X69)&gt;0.001</formula>
    </cfRule>
  </conditionalFormatting>
  <conditionalFormatting sqref="X80">
    <cfRule type="expression" dxfId="0" priority="1">
      <formula>ABS(X80)&gt;0.001</formula>
    </cfRule>
  </conditionalFormatting>
  <dataValidations count="3">
    <dataValidation type="list" allowBlank="1" showInputMessage="1" showErrorMessage="1" sqref="D39:D43 D10:D36" xr:uid="{00000000-0002-0000-0400-000000000000}">
      <formula1>"CapEx, OpEx"</formula1>
    </dataValidation>
    <dataValidation type="list" allowBlank="1" showInputMessage="1" showErrorMessage="1" sqref="E39:E43 E10:E36" xr:uid="{00000000-0002-0000-0400-000001000000}">
      <formula1>"Labour, Materials, Contracts"</formula1>
    </dataValidation>
    <dataValidation type="list" allowBlank="1" showInputMessage="1" showErrorMessage="1" sqref="F39:F43 F10:F36" xr:uid="{00000000-0002-0000-0400-000002000000}">
      <formula1>"Recurrent, Non Recurrent"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T145"/>
  <sheetViews>
    <sheetView showGridLines="0" zoomScale="80" zoomScaleNormal="80" workbookViewId="0"/>
  </sheetViews>
  <sheetFormatPr defaultColWidth="9.109375" defaultRowHeight="13.8" x14ac:dyDescent="0.3"/>
  <cols>
    <col min="1" max="1" width="4.5546875" style="93" customWidth="1"/>
    <col min="2" max="2" width="2.44140625" style="93" customWidth="1"/>
    <col min="3" max="3" width="98.33203125" style="93" customWidth="1"/>
    <col min="4" max="4" width="9.109375" style="93"/>
    <col min="5" max="9" width="16.109375" style="93" customWidth="1"/>
    <col min="10" max="10" width="5.21875" style="93" customWidth="1"/>
    <col min="11" max="12" width="10.88671875" style="93" bestFit="1" customWidth="1"/>
    <col min="13" max="13" width="11.109375" style="93" bestFit="1" customWidth="1"/>
    <col min="14" max="14" width="10.88671875" style="93" bestFit="1" customWidth="1"/>
    <col min="15" max="15" width="9.109375" style="93"/>
    <col min="16" max="16" width="14" style="93" bestFit="1" customWidth="1"/>
    <col min="17" max="17" width="12.44140625" style="93" bestFit="1" customWidth="1"/>
    <col min="18" max="16384" width="9.109375" style="93"/>
  </cols>
  <sheetData>
    <row r="1" spans="1:20" ht="21" x14ac:dyDescent="0.4">
      <c r="A1" s="17" t="str">
        <f>Assumptions!A1</f>
        <v>Customer enablement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20" ht="15.6" x14ac:dyDescent="0.3">
      <c r="A2" s="16" t="str">
        <f>Assumptions!A2</f>
        <v>UE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20" s="21" customFormat="1" ht="14.4" x14ac:dyDescent="0.3">
      <c r="A3" s="34" t="s">
        <v>107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T3" s="122"/>
    </row>
    <row r="5" spans="1:20" x14ac:dyDescent="0.3">
      <c r="E5" s="112" t="s">
        <v>49</v>
      </c>
      <c r="G5" s="112" t="s">
        <v>128</v>
      </c>
      <c r="H5" s="112"/>
      <c r="I5" s="112" t="s">
        <v>23</v>
      </c>
      <c r="K5" s="112" t="s">
        <v>108</v>
      </c>
    </row>
    <row r="6" spans="1:20" x14ac:dyDescent="0.3">
      <c r="B6" s="113" t="s">
        <v>109</v>
      </c>
    </row>
    <row r="7" spans="1:20" x14ac:dyDescent="0.3">
      <c r="C7" s="93" t="s">
        <v>110</v>
      </c>
      <c r="D7" s="11" t="s">
        <v>111</v>
      </c>
      <c r="E7" s="101">
        <v>676696</v>
      </c>
      <c r="G7" s="101">
        <v>1124068</v>
      </c>
      <c r="I7" s="101">
        <f>G7+E7</f>
        <v>1800764</v>
      </c>
    </row>
    <row r="8" spans="1:20" x14ac:dyDescent="0.3">
      <c r="C8" s="93" t="s">
        <v>112</v>
      </c>
      <c r="D8" s="11" t="s">
        <v>111</v>
      </c>
      <c r="E8" s="101">
        <v>58772</v>
      </c>
      <c r="G8" s="101">
        <v>171804</v>
      </c>
      <c r="I8" s="101">
        <f>G8+E8</f>
        <v>230576</v>
      </c>
    </row>
    <row r="9" spans="1:20" x14ac:dyDescent="0.3">
      <c r="C9" s="93" t="s">
        <v>113</v>
      </c>
      <c r="D9" s="11" t="s">
        <v>111</v>
      </c>
      <c r="E9" s="114">
        <f t="shared" ref="E9:I9" si="0">SUM(E7:E8)</f>
        <v>735468</v>
      </c>
      <c r="G9" s="114">
        <f t="shared" si="0"/>
        <v>1295872</v>
      </c>
      <c r="I9" s="114">
        <f t="shared" si="0"/>
        <v>2031340</v>
      </c>
    </row>
    <row r="11" spans="1:20" x14ac:dyDescent="0.3">
      <c r="B11" s="113" t="s">
        <v>106</v>
      </c>
    </row>
    <row r="12" spans="1:20" x14ac:dyDescent="0.3">
      <c r="C12" s="93" t="s">
        <v>105</v>
      </c>
      <c r="D12" s="11" t="s">
        <v>103</v>
      </c>
      <c r="E12" s="115">
        <v>1190.3</v>
      </c>
      <c r="G12" s="115">
        <v>1190.3</v>
      </c>
      <c r="I12" s="115">
        <v>1190.3</v>
      </c>
      <c r="K12" s="93" t="s">
        <v>122</v>
      </c>
    </row>
    <row r="13" spans="1:20" ht="14.4" x14ac:dyDescent="0.3">
      <c r="C13" s="93" t="s">
        <v>104</v>
      </c>
      <c r="D13" s="11" t="s">
        <v>103</v>
      </c>
      <c r="E13" s="170">
        <f>E12/(7*16*60)</f>
        <v>0.17712797619047618</v>
      </c>
      <c r="F13" s="166"/>
      <c r="G13" s="169">
        <f>G12/(7*16*60)</f>
        <v>0.17712797619047618</v>
      </c>
      <c r="H13" s="166"/>
      <c r="I13" s="169">
        <f>I12/(7*16*60)</f>
        <v>0.17712797619047618</v>
      </c>
      <c r="K13"/>
    </row>
    <row r="14" spans="1:20" x14ac:dyDescent="0.3">
      <c r="C14" s="93" t="s">
        <v>102</v>
      </c>
      <c r="D14" s="11" t="s">
        <v>65</v>
      </c>
      <c r="E14" s="170">
        <f>E13*Assumptions!$G$12/Assumptions!$H$12</f>
        <v>0.18068057735638687</v>
      </c>
      <c r="F14" s="166"/>
      <c r="G14" s="170">
        <f>G13*Assumptions!$G$12/Assumptions!$H$12</f>
        <v>0.18068057735638687</v>
      </c>
      <c r="H14" s="166"/>
      <c r="I14" s="170">
        <f>I13*Assumptions!$G$12/Assumptions!$H$12</f>
        <v>0.18068057735638687</v>
      </c>
    </row>
    <row r="15" spans="1:20" x14ac:dyDescent="0.3">
      <c r="G15" s="174"/>
    </row>
    <row r="16" spans="1:20" x14ac:dyDescent="0.3">
      <c r="B16" s="113" t="s">
        <v>101</v>
      </c>
      <c r="K16" s="123"/>
    </row>
    <row r="17" spans="1:11" x14ac:dyDescent="0.3">
      <c r="C17" s="93" t="s">
        <v>100</v>
      </c>
      <c r="D17" s="11" t="s">
        <v>65</v>
      </c>
      <c r="E17" s="115">
        <v>165015000000</v>
      </c>
      <c r="G17" s="115">
        <v>165015000000</v>
      </c>
      <c r="I17" s="115">
        <v>165015000000</v>
      </c>
      <c r="K17" s="93" t="s">
        <v>124</v>
      </c>
    </row>
    <row r="18" spans="1:11" x14ac:dyDescent="0.3">
      <c r="C18" s="93" t="s">
        <v>99</v>
      </c>
      <c r="D18" s="11" t="s">
        <v>66</v>
      </c>
      <c r="E18" s="101">
        <v>618189</v>
      </c>
      <c r="G18" s="101">
        <v>618189</v>
      </c>
      <c r="I18" s="101">
        <v>618189</v>
      </c>
      <c r="K18" s="93" t="s">
        <v>123</v>
      </c>
    </row>
    <row r="19" spans="1:11" x14ac:dyDescent="0.3">
      <c r="C19" s="93" t="s">
        <v>98</v>
      </c>
      <c r="D19" s="11" t="s">
        <v>65</v>
      </c>
      <c r="E19" s="117">
        <f t="shared" ref="E19" si="1">E17/E18</f>
        <v>266932.92827921559</v>
      </c>
      <c r="G19" s="117">
        <f t="shared" ref="G19" si="2">G17/G18</f>
        <v>266932.92827921559</v>
      </c>
      <c r="I19" s="117">
        <f t="shared" ref="I19" si="3">I17/I18</f>
        <v>266932.92827921559</v>
      </c>
    </row>
    <row r="20" spans="1:11" x14ac:dyDescent="0.3">
      <c r="C20" s="93" t="s">
        <v>97</v>
      </c>
      <c r="D20" s="11" t="s">
        <v>65</v>
      </c>
      <c r="E20" s="116">
        <f>E19/(365*16*60)</f>
        <v>0.761794886641597</v>
      </c>
      <c r="G20" s="116">
        <f>G19/(365*16*60)</f>
        <v>0.761794886641597</v>
      </c>
      <c r="I20" s="116">
        <f>I19/(365*16*60)</f>
        <v>0.761794886641597</v>
      </c>
    </row>
    <row r="22" spans="1:11" x14ac:dyDescent="0.3">
      <c r="B22" s="93" t="s">
        <v>96</v>
      </c>
      <c r="D22" s="11" t="s">
        <v>65</v>
      </c>
      <c r="E22" s="167">
        <f>(E7*E14+E8*E20)/E9</f>
        <v>0.22711801608289892</v>
      </c>
      <c r="F22" s="168"/>
      <c r="G22" s="167">
        <f>(G7*G14+G8*G20)/G9</f>
        <v>0.25772349733030114</v>
      </c>
      <c r="H22" s="168"/>
      <c r="I22" s="167">
        <f>(I7*I14+I8*I20)/I9</f>
        <v>0.24664246112658125</v>
      </c>
    </row>
    <row r="23" spans="1:11" x14ac:dyDescent="0.3">
      <c r="B23" s="113" t="s">
        <v>96</v>
      </c>
      <c r="D23" s="11" t="s">
        <v>58</v>
      </c>
      <c r="E23" s="167">
        <f>E22*(Assumptions!$H$12/Assumptions!$J$12)</f>
        <v>0.23596341981448679</v>
      </c>
      <c r="F23" s="168"/>
      <c r="G23" s="167">
        <f>G22*(Assumptions!$H$12/Assumptions!$J$12)</f>
        <v>0.26776087095798923</v>
      </c>
      <c r="H23" s="168"/>
      <c r="I23" s="167">
        <f>I22*(Assumptions!$H$12/Assumptions!$J$12)</f>
        <v>0.25624826952366048</v>
      </c>
    </row>
    <row r="25" spans="1:11" x14ac:dyDescent="0.3">
      <c r="A25" s="38" t="s">
        <v>114</v>
      </c>
    </row>
    <row r="26" spans="1:11" x14ac:dyDescent="0.3">
      <c r="B26" s="113" t="s">
        <v>95</v>
      </c>
    </row>
    <row r="27" spans="1:11" x14ac:dyDescent="0.3">
      <c r="C27" s="93" t="s">
        <v>94</v>
      </c>
      <c r="D27" s="2" t="s">
        <v>66</v>
      </c>
      <c r="E27" s="101">
        <v>117071.18999999999</v>
      </c>
      <c r="G27" s="101">
        <v>213455</v>
      </c>
      <c r="I27" s="114">
        <f>G27+E27</f>
        <v>330526.19</v>
      </c>
    </row>
    <row r="28" spans="1:11" x14ac:dyDescent="0.3">
      <c r="C28" s="93" t="s">
        <v>88</v>
      </c>
      <c r="D28" s="2" t="s">
        <v>68</v>
      </c>
      <c r="E28" s="202">
        <f>245/60</f>
        <v>4.083333333333333</v>
      </c>
      <c r="G28" s="202">
        <f>245/60</f>
        <v>4.083333333333333</v>
      </c>
      <c r="I28" s="202">
        <f>245/60</f>
        <v>4.083333333333333</v>
      </c>
    </row>
    <row r="29" spans="1:11" x14ac:dyDescent="0.3">
      <c r="C29" s="93" t="s">
        <v>93</v>
      </c>
      <c r="D29" s="2" t="s">
        <v>68</v>
      </c>
      <c r="E29" s="114">
        <f>E27*E28</f>
        <v>478040.69249999989</v>
      </c>
      <c r="G29" s="114">
        <f>G27*G28</f>
        <v>871607.91666666663</v>
      </c>
      <c r="I29" s="114">
        <f>I27*I28</f>
        <v>1349648.6091666666</v>
      </c>
    </row>
    <row r="30" spans="1:11" x14ac:dyDescent="0.3">
      <c r="C30" s="93" t="s">
        <v>92</v>
      </c>
      <c r="D30" s="2" t="s">
        <v>68</v>
      </c>
      <c r="E30" s="202">
        <f>E29/E9</f>
        <v>0.64998163414315768</v>
      </c>
      <c r="G30" s="202">
        <f>G29/G9</f>
        <v>0.67260340270232444</v>
      </c>
      <c r="I30" s="202">
        <f>I29/I9</f>
        <v>0.66441295360041486</v>
      </c>
    </row>
    <row r="31" spans="1:11" x14ac:dyDescent="0.3">
      <c r="B31" s="120" t="s">
        <v>91</v>
      </c>
      <c r="D31" s="2"/>
    </row>
    <row r="32" spans="1:11" x14ac:dyDescent="0.3">
      <c r="B32" s="120"/>
      <c r="C32" s="93" t="s">
        <v>118</v>
      </c>
      <c r="D32" s="2"/>
      <c r="E32" s="133">
        <v>10</v>
      </c>
      <c r="G32" s="133">
        <v>10</v>
      </c>
      <c r="I32" s="133">
        <v>10</v>
      </c>
    </row>
    <row r="33" spans="2:10" x14ac:dyDescent="0.3">
      <c r="C33" s="93" t="str">
        <f>$E$32&amp;"% reduction in calls"</f>
        <v>10% reduction in calls</v>
      </c>
      <c r="D33" s="2" t="s">
        <v>68</v>
      </c>
      <c r="E33" s="191">
        <f>(E$32%*E$29)/E$9</f>
        <v>6.4998163414315774E-2</v>
      </c>
      <c r="G33" s="191">
        <f>(G$32%*G$29)/G$9</f>
        <v>6.7260340270232449E-2</v>
      </c>
      <c r="I33" s="119">
        <f>(I$32%*I$29)/I$9</f>
        <v>6.644129536004148E-2</v>
      </c>
    </row>
    <row r="34" spans="2:10" x14ac:dyDescent="0.3">
      <c r="C34" s="113" t="s">
        <v>90</v>
      </c>
      <c r="D34" s="38" t="s">
        <v>68</v>
      </c>
      <c r="E34" s="172">
        <f>E33*E9</f>
        <v>47804.069249999993</v>
      </c>
      <c r="G34" s="172">
        <f>G33*G9</f>
        <v>87160.791666666672</v>
      </c>
      <c r="I34" s="172">
        <f>I33*I9</f>
        <v>134964.86091666666</v>
      </c>
      <c r="J34" s="141"/>
    </row>
    <row r="36" spans="2:10" x14ac:dyDescent="0.3">
      <c r="B36" s="113" t="s">
        <v>129</v>
      </c>
      <c r="C36" s="2"/>
    </row>
    <row r="37" spans="2:10" x14ac:dyDescent="0.3">
      <c r="C37" s="2" t="s">
        <v>208</v>
      </c>
      <c r="D37" s="2" t="s">
        <v>66</v>
      </c>
      <c r="E37" s="101">
        <v>100000</v>
      </c>
      <c r="F37" s="173"/>
      <c r="G37" s="101">
        <v>300000</v>
      </c>
      <c r="H37" s="173"/>
      <c r="I37" s="114">
        <f t="shared" ref="I37:I49" si="4">G37+E37</f>
        <v>400000</v>
      </c>
      <c r="J37" s="173"/>
    </row>
    <row r="38" spans="2:10" x14ac:dyDescent="0.3">
      <c r="C38" s="2" t="s">
        <v>209</v>
      </c>
      <c r="D38" s="2" t="s">
        <v>66</v>
      </c>
      <c r="E38" s="114">
        <f>E37*1.25</f>
        <v>125000</v>
      </c>
      <c r="G38" s="114">
        <f>G37*1.25</f>
        <v>375000</v>
      </c>
      <c r="I38" s="114">
        <f t="shared" si="4"/>
        <v>500000</v>
      </c>
    </row>
    <row r="39" spans="2:10" x14ac:dyDescent="0.3">
      <c r="C39" s="2" t="s">
        <v>210</v>
      </c>
      <c r="D39" s="2" t="s">
        <v>66</v>
      </c>
      <c r="E39" s="114">
        <f>E37*1.5</f>
        <v>150000</v>
      </c>
      <c r="G39" s="114">
        <f>G37*1.5</f>
        <v>450000</v>
      </c>
      <c r="I39" s="114">
        <f t="shared" si="4"/>
        <v>600000</v>
      </c>
    </row>
    <row r="40" spans="2:10" x14ac:dyDescent="0.3">
      <c r="C40" s="2" t="s">
        <v>211</v>
      </c>
      <c r="D40" s="2" t="s">
        <v>66</v>
      </c>
      <c r="E40" s="114">
        <f>E37*2</f>
        <v>200000</v>
      </c>
      <c r="G40" s="114">
        <f>G37*2</f>
        <v>600000</v>
      </c>
      <c r="I40" s="114">
        <f t="shared" si="4"/>
        <v>800000</v>
      </c>
    </row>
    <row r="41" spans="2:10" x14ac:dyDescent="0.3">
      <c r="C41" s="2" t="s">
        <v>212</v>
      </c>
      <c r="D41" s="2" t="s">
        <v>66</v>
      </c>
      <c r="E41" s="114">
        <f>E9*1/2</f>
        <v>367734</v>
      </c>
      <c r="G41" s="114">
        <f>G9*1/2</f>
        <v>647936</v>
      </c>
      <c r="I41" s="114">
        <f t="shared" si="4"/>
        <v>1015670</v>
      </c>
    </row>
    <row r="42" spans="2:10" x14ac:dyDescent="0.3">
      <c r="C42" s="2" t="s">
        <v>213</v>
      </c>
      <c r="D42" s="2" t="s">
        <v>66</v>
      </c>
      <c r="E42" s="114">
        <f>E9*2/3</f>
        <v>490312</v>
      </c>
      <c r="G42" s="114">
        <f>G9*2/3</f>
        <v>863914.66666666663</v>
      </c>
      <c r="I42" s="114">
        <f t="shared" si="4"/>
        <v>1354226.6666666665</v>
      </c>
    </row>
    <row r="43" spans="2:10" x14ac:dyDescent="0.3">
      <c r="C43" s="2" t="s">
        <v>89</v>
      </c>
      <c r="D43" s="2" t="s">
        <v>68</v>
      </c>
      <c r="E43" s="101">
        <v>3</v>
      </c>
      <c r="G43" s="101">
        <v>3</v>
      </c>
    </row>
    <row r="44" spans="2:10" x14ac:dyDescent="0.3">
      <c r="C44" s="38" t="s">
        <v>171</v>
      </c>
      <c r="D44" s="38" t="s">
        <v>68</v>
      </c>
      <c r="E44" s="124">
        <f>E37*E43</f>
        <v>300000</v>
      </c>
      <c r="G44" s="124">
        <f>G37*G43</f>
        <v>900000</v>
      </c>
      <c r="I44" s="121">
        <f t="shared" si="4"/>
        <v>1200000</v>
      </c>
      <c r="J44" s="141"/>
    </row>
    <row r="45" spans="2:10" x14ac:dyDescent="0.3">
      <c r="C45" s="38" t="s">
        <v>172</v>
      </c>
      <c r="D45" s="38" t="s">
        <v>68</v>
      </c>
      <c r="E45" s="124">
        <f>E38*$E$43</f>
        <v>375000</v>
      </c>
      <c r="G45" s="124">
        <f>G38*$G$43</f>
        <v>1125000</v>
      </c>
      <c r="I45" s="121">
        <f t="shared" si="4"/>
        <v>1500000</v>
      </c>
      <c r="J45" s="141"/>
    </row>
    <row r="46" spans="2:10" x14ac:dyDescent="0.3">
      <c r="C46" s="38" t="s">
        <v>173</v>
      </c>
      <c r="D46" s="38" t="s">
        <v>68</v>
      </c>
      <c r="E46" s="124">
        <f>E39*$E$43</f>
        <v>450000</v>
      </c>
      <c r="G46" s="124">
        <f>G39*$G$43</f>
        <v>1350000</v>
      </c>
      <c r="I46" s="121">
        <f t="shared" si="4"/>
        <v>1800000</v>
      </c>
      <c r="J46" s="141"/>
    </row>
    <row r="47" spans="2:10" x14ac:dyDescent="0.3">
      <c r="C47" s="38" t="s">
        <v>174</v>
      </c>
      <c r="D47" s="38" t="s">
        <v>68</v>
      </c>
      <c r="E47" s="124">
        <f>E40*$E$43</f>
        <v>600000</v>
      </c>
      <c r="G47" s="124">
        <f>G40*$G$43</f>
        <v>1800000</v>
      </c>
      <c r="I47" s="121">
        <f t="shared" si="4"/>
        <v>2400000</v>
      </c>
      <c r="J47" s="141"/>
    </row>
    <row r="48" spans="2:10" x14ac:dyDescent="0.3">
      <c r="C48" s="38" t="s">
        <v>175</v>
      </c>
      <c r="D48" s="38" t="s">
        <v>68</v>
      </c>
      <c r="E48" s="124">
        <f>E41*$E$43</f>
        <v>1103202</v>
      </c>
      <c r="G48" s="124">
        <f>G41*$G$43</f>
        <v>1943808</v>
      </c>
      <c r="I48" s="121">
        <f t="shared" si="4"/>
        <v>3047010</v>
      </c>
      <c r="J48" s="141"/>
    </row>
    <row r="49" spans="1:10" x14ac:dyDescent="0.3">
      <c r="C49" s="38" t="s">
        <v>176</v>
      </c>
      <c r="D49" s="38" t="s">
        <v>68</v>
      </c>
      <c r="E49" s="124">
        <f>E42*$E$43</f>
        <v>1470936</v>
      </c>
      <c r="G49" s="124">
        <f>G42*$G$43</f>
        <v>2591744</v>
      </c>
      <c r="I49" s="121">
        <f t="shared" si="4"/>
        <v>4062680</v>
      </c>
      <c r="J49" s="141"/>
    </row>
    <row r="50" spans="1:10" x14ac:dyDescent="0.3">
      <c r="C50" s="38"/>
      <c r="D50" s="38"/>
      <c r="E50" s="124"/>
      <c r="G50" s="124"/>
      <c r="I50" s="124"/>
      <c r="J50" s="141"/>
    </row>
    <row r="51" spans="1:10" x14ac:dyDescent="0.3">
      <c r="A51" s="38" t="s">
        <v>87</v>
      </c>
      <c r="D51" s="2"/>
    </row>
    <row r="52" spans="1:10" x14ac:dyDescent="0.3">
      <c r="B52" s="38" t="s">
        <v>86</v>
      </c>
      <c r="D52" s="2"/>
    </row>
    <row r="53" spans="1:10" x14ac:dyDescent="0.3">
      <c r="C53" s="2" t="s">
        <v>85</v>
      </c>
      <c r="D53" s="2" t="s">
        <v>66</v>
      </c>
      <c r="E53" s="101">
        <v>20000</v>
      </c>
    </row>
    <row r="54" spans="1:10" x14ac:dyDescent="0.3">
      <c r="C54" s="2" t="s">
        <v>84</v>
      </c>
      <c r="D54" s="2" t="s">
        <v>68</v>
      </c>
      <c r="E54" s="101">
        <v>30</v>
      </c>
    </row>
    <row r="55" spans="1:10" x14ac:dyDescent="0.3">
      <c r="C55" s="38" t="s">
        <v>83</v>
      </c>
      <c r="D55" s="38" t="s">
        <v>68</v>
      </c>
      <c r="E55" s="197">
        <f>E53*E54</f>
        <v>600000</v>
      </c>
      <c r="F55" s="141"/>
    </row>
    <row r="56" spans="1:10" x14ac:dyDescent="0.3">
      <c r="C56" s="2"/>
      <c r="D56" s="2"/>
    </row>
    <row r="57" spans="1:10" x14ac:dyDescent="0.3">
      <c r="B57" s="38" t="s">
        <v>82</v>
      </c>
      <c r="D57" s="2"/>
    </row>
    <row r="58" spans="1:10" x14ac:dyDescent="0.3">
      <c r="C58" s="2" t="s">
        <v>81</v>
      </c>
      <c r="D58" s="2" t="s">
        <v>80</v>
      </c>
      <c r="E58" s="118">
        <v>1</v>
      </c>
    </row>
    <row r="59" spans="1:10" x14ac:dyDescent="0.3">
      <c r="C59" s="2" t="s">
        <v>79</v>
      </c>
      <c r="D59" s="2" t="s">
        <v>78</v>
      </c>
      <c r="E59" s="118">
        <v>80</v>
      </c>
    </row>
    <row r="60" spans="1:10" x14ac:dyDescent="0.3">
      <c r="C60" s="2" t="s">
        <v>77</v>
      </c>
      <c r="D60" s="2" t="s">
        <v>76</v>
      </c>
      <c r="E60" s="118">
        <v>1</v>
      </c>
    </row>
    <row r="61" spans="1:10" x14ac:dyDescent="0.3">
      <c r="C61" s="38" t="s">
        <v>75</v>
      </c>
      <c r="D61" s="2"/>
      <c r="E61" s="196">
        <f>E53*E58*E59*E60</f>
        <v>1600000</v>
      </c>
      <c r="F61" s="140"/>
    </row>
    <row r="62" spans="1:10" x14ac:dyDescent="0.3">
      <c r="C62" s="2"/>
      <c r="D62" s="2"/>
    </row>
    <row r="63" spans="1:10" x14ac:dyDescent="0.3">
      <c r="A63" s="38" t="s">
        <v>74</v>
      </c>
      <c r="D63" s="2"/>
      <c r="E63" s="108" t="s">
        <v>115</v>
      </c>
    </row>
    <row r="64" spans="1:10" x14ac:dyDescent="0.3">
      <c r="B64" s="38" t="s">
        <v>73</v>
      </c>
      <c r="D64" s="2"/>
    </row>
    <row r="65" spans="1:10" x14ac:dyDescent="0.3">
      <c r="C65" s="2" t="s">
        <v>72</v>
      </c>
      <c r="D65" s="2" t="s">
        <v>66</v>
      </c>
      <c r="E65" s="101">
        <v>14098.0095</v>
      </c>
      <c r="G65" s="101">
        <v>17134.066666666666</v>
      </c>
      <c r="I65" s="201">
        <f>I66/I67</f>
        <v>16870.607614583332</v>
      </c>
    </row>
    <row r="66" spans="1:10" x14ac:dyDescent="0.3">
      <c r="C66" s="2" t="s">
        <v>71</v>
      </c>
      <c r="D66" s="2" t="s">
        <v>66</v>
      </c>
      <c r="E66" s="201">
        <f>(E29)*$E$32%</f>
        <v>47804.069249999993</v>
      </c>
      <c r="G66" s="201">
        <f>(G29)*$G$32%</f>
        <v>87160.791666666672</v>
      </c>
      <c r="I66" s="201">
        <f>SUM(E66,G66)</f>
        <v>134964.86091666666</v>
      </c>
    </row>
    <row r="67" spans="1:10" x14ac:dyDescent="0.3">
      <c r="C67" s="38" t="s">
        <v>70</v>
      </c>
      <c r="D67" s="38" t="s">
        <v>66</v>
      </c>
      <c r="E67" s="113">
        <f>ROUND(E66/E65,0)</f>
        <v>3</v>
      </c>
      <c r="G67" s="113">
        <f>ROUND(G66/G65,0)</f>
        <v>5</v>
      </c>
      <c r="I67" s="203">
        <f>SUM(E67,G67)</f>
        <v>8</v>
      </c>
    </row>
    <row r="68" spans="1:10" x14ac:dyDescent="0.3">
      <c r="C68" s="38"/>
      <c r="D68" s="38"/>
    </row>
    <row r="69" spans="1:10" x14ac:dyDescent="0.3">
      <c r="C69" s="38" t="s">
        <v>119</v>
      </c>
      <c r="D69" s="38"/>
    </row>
    <row r="70" spans="1:10" x14ac:dyDescent="0.3">
      <c r="C70" s="2" t="s">
        <v>117</v>
      </c>
      <c r="D70" s="2" t="s">
        <v>68</v>
      </c>
      <c r="E70" s="101">
        <v>30</v>
      </c>
      <c r="G70" s="101">
        <v>30</v>
      </c>
      <c r="I70" s="201">
        <f>I71/I72</f>
        <v>96264.545454545456</v>
      </c>
    </row>
    <row r="71" spans="1:10" x14ac:dyDescent="0.3">
      <c r="C71" s="2" t="s">
        <v>69</v>
      </c>
      <c r="D71" s="2" t="s">
        <v>68</v>
      </c>
      <c r="E71" s="114">
        <f>E70*E53</f>
        <v>600000</v>
      </c>
      <c r="G71" s="201">
        <v>458910</v>
      </c>
      <c r="I71" s="201">
        <f>SUM(E71,G71)</f>
        <v>1058910</v>
      </c>
    </row>
    <row r="72" spans="1:10" x14ac:dyDescent="0.3">
      <c r="C72" s="38" t="s">
        <v>67</v>
      </c>
      <c r="D72" s="38" t="s">
        <v>66</v>
      </c>
      <c r="E72" s="121">
        <f>ROUND(E71/(35*60*48),0)</f>
        <v>6</v>
      </c>
      <c r="G72" s="121">
        <f>ROUND(G71/(35*60*48),0)</f>
        <v>5</v>
      </c>
      <c r="I72" s="203">
        <f>SUM(E72,G72)</f>
        <v>11</v>
      </c>
    </row>
    <row r="73" spans="1:10" x14ac:dyDescent="0.3">
      <c r="C73" s="2"/>
      <c r="D73" s="2"/>
    </row>
    <row r="74" spans="1:10" x14ac:dyDescent="0.3">
      <c r="C74" s="2" t="s">
        <v>127</v>
      </c>
      <c r="D74" s="2" t="s">
        <v>65</v>
      </c>
      <c r="E74" s="101">
        <v>83726.5</v>
      </c>
      <c r="G74" s="101">
        <v>83726.5</v>
      </c>
      <c r="I74" s="101">
        <v>83726.5</v>
      </c>
    </row>
    <row r="75" spans="1:10" x14ac:dyDescent="0.3">
      <c r="C75" s="2" t="s">
        <v>64</v>
      </c>
      <c r="D75" s="2" t="s">
        <v>65</v>
      </c>
      <c r="E75" s="171">
        <f>E74*SUM(E67+E72)</f>
        <v>753538.5</v>
      </c>
      <c r="G75" s="114">
        <f>G74*SUM(G67+G72)</f>
        <v>837265</v>
      </c>
      <c r="I75" s="114">
        <f>I74*SUM(I67+I72)</f>
        <v>1590803.5</v>
      </c>
    </row>
    <row r="76" spans="1:10" x14ac:dyDescent="0.3">
      <c r="C76" s="38" t="s">
        <v>64</v>
      </c>
      <c r="D76" s="38" t="s">
        <v>58</v>
      </c>
      <c r="E76" s="172">
        <f>(E75)*(Assumptions!$H$12/Assumptions!$J$12)</f>
        <v>782886.02766316105</v>
      </c>
      <c r="G76" s="172">
        <f>(G75)*(Assumptions!$H$12/Assumptions!$J$12)</f>
        <v>869873.36407017894</v>
      </c>
      <c r="I76" s="172">
        <f>(I75)*(Assumptions!$H$12/Assumptions!$J$12)</f>
        <v>1652759.39173334</v>
      </c>
    </row>
    <row r="78" spans="1:10" ht="15.6" x14ac:dyDescent="0.3">
      <c r="A78" s="125" t="s">
        <v>63</v>
      </c>
      <c r="B78" s="126"/>
      <c r="C78" s="126"/>
      <c r="D78" s="126"/>
      <c r="E78" s="126"/>
      <c r="F78" s="126"/>
      <c r="G78" s="126"/>
      <c r="H78" s="126"/>
      <c r="I78" s="126"/>
      <c r="J78" s="2"/>
    </row>
    <row r="79" spans="1:10" s="2" customFormat="1" ht="15.6" x14ac:dyDescent="0.3">
      <c r="A79" s="111"/>
    </row>
    <row r="80" spans="1:10" s="2" customFormat="1" ht="15" customHeight="1" x14ac:dyDescent="0.3">
      <c r="A80" s="111"/>
      <c r="C80" s="2" t="s">
        <v>62</v>
      </c>
      <c r="D80" s="200">
        <v>5</v>
      </c>
    </row>
    <row r="81" spans="1:10" s="2" customFormat="1" ht="15" customHeight="1" x14ac:dyDescent="0.3">
      <c r="A81" s="111"/>
      <c r="C81" s="2" t="s">
        <v>205</v>
      </c>
      <c r="E81" s="204">
        <v>0</v>
      </c>
      <c r="F81" s="204">
        <v>0.1</v>
      </c>
      <c r="G81" s="204">
        <v>0.2</v>
      </c>
      <c r="H81" s="204">
        <v>0.5</v>
      </c>
      <c r="I81" s="204">
        <v>0.7</v>
      </c>
    </row>
    <row r="82" spans="1:10" s="2" customFormat="1" ht="15" customHeight="1" x14ac:dyDescent="0.3">
      <c r="A82" s="111"/>
      <c r="C82" s="2" t="s">
        <v>206</v>
      </c>
      <c r="E82" s="204">
        <v>0</v>
      </c>
      <c r="F82" s="204">
        <v>0</v>
      </c>
      <c r="G82" s="204">
        <v>0.1</v>
      </c>
      <c r="H82" s="204">
        <v>0.2</v>
      </c>
      <c r="I82" s="204">
        <v>0.5</v>
      </c>
    </row>
    <row r="83" spans="1:10" s="2" customFormat="1" ht="15.6" x14ac:dyDescent="0.3">
      <c r="A83" s="111"/>
    </row>
    <row r="84" spans="1:10" x14ac:dyDescent="0.3">
      <c r="C84" s="127" t="s">
        <v>202</v>
      </c>
      <c r="D84" s="108"/>
      <c r="E84" s="108" t="s">
        <v>15</v>
      </c>
      <c r="F84" s="108" t="s">
        <v>16</v>
      </c>
      <c r="G84" s="108" t="s">
        <v>17</v>
      </c>
      <c r="H84" s="108" t="s">
        <v>18</v>
      </c>
      <c r="I84" s="108" t="s">
        <v>19</v>
      </c>
      <c r="J84" s="2"/>
    </row>
    <row r="85" spans="1:10" x14ac:dyDescent="0.3">
      <c r="C85" s="2" t="s">
        <v>60</v>
      </c>
      <c r="D85" s="2" t="s">
        <v>58</v>
      </c>
      <c r="E85" s="128">
        <f ca="1">Summary!F14</f>
        <v>7988768.1635432243</v>
      </c>
      <c r="F85" s="128">
        <f ca="1">Summary!G14</f>
        <v>2418301.2325497251</v>
      </c>
      <c r="G85" s="128">
        <f ca="1">Summary!H14</f>
        <v>220159.55172503734</v>
      </c>
      <c r="H85" s="128">
        <f ca="1">Summary!I14</f>
        <v>0</v>
      </c>
      <c r="I85" s="128">
        <f ca="1">Summary!J14</f>
        <v>0</v>
      </c>
      <c r="J85" s="2"/>
    </row>
    <row r="86" spans="1:10" x14ac:dyDescent="0.3">
      <c r="C86" s="2" t="s">
        <v>177</v>
      </c>
      <c r="D86" s="2" t="s">
        <v>58</v>
      </c>
      <c r="E86" s="198"/>
      <c r="F86" s="128">
        <f>$E$61+$E$55*$E$23</f>
        <v>1741578.0518886922</v>
      </c>
      <c r="G86" s="128">
        <f>$E$61+$E$55*$E$23+$I$34*$I$23+$I44*$I$23</f>
        <v>2083660.487373482</v>
      </c>
      <c r="H86" s="128">
        <f t="shared" ref="H86:I86" si="5">$E$61+$E$55*$E$23+$I$34*$I$23+$I44*$I$23</f>
        <v>2083660.487373482</v>
      </c>
      <c r="I86" s="128">
        <f t="shared" si="5"/>
        <v>2083660.487373482</v>
      </c>
      <c r="J86" s="2"/>
    </row>
    <row r="87" spans="1:10" x14ac:dyDescent="0.3">
      <c r="C87" s="2" t="s">
        <v>178</v>
      </c>
      <c r="D87" s="2" t="s">
        <v>58</v>
      </c>
      <c r="E87" s="198"/>
      <c r="F87" s="128">
        <f t="shared" ref="F87:F91" si="6">$E$61+$E$55*$E$23</f>
        <v>1741578.0518886922</v>
      </c>
      <c r="G87" s="128">
        <f t="shared" ref="G87:I87" si="7">$E$61+$E$55*$E$23+$I$34*$I$23+$I45*$I$23</f>
        <v>2160534.96823058</v>
      </c>
      <c r="H87" s="128">
        <f t="shared" si="7"/>
        <v>2160534.96823058</v>
      </c>
      <c r="I87" s="128">
        <f t="shared" si="7"/>
        <v>2160534.96823058</v>
      </c>
      <c r="J87" s="2"/>
    </row>
    <row r="88" spans="1:10" x14ac:dyDescent="0.3">
      <c r="C88" s="2" t="s">
        <v>179</v>
      </c>
      <c r="D88" s="2" t="s">
        <v>58</v>
      </c>
      <c r="E88" s="198"/>
      <c r="F88" s="128">
        <f t="shared" si="6"/>
        <v>1741578.0518886922</v>
      </c>
      <c r="G88" s="128">
        <f t="shared" ref="G88:I88" si="8">$E$61+$E$55*$E$23+$I$34*$I$23+$I46*$I$23</f>
        <v>2237409.4490876785</v>
      </c>
      <c r="H88" s="128">
        <f t="shared" si="8"/>
        <v>2237409.4490876785</v>
      </c>
      <c r="I88" s="128">
        <f t="shared" si="8"/>
        <v>2237409.4490876785</v>
      </c>
      <c r="J88" s="2"/>
    </row>
    <row r="89" spans="1:10" x14ac:dyDescent="0.3">
      <c r="C89" s="2" t="s">
        <v>180</v>
      </c>
      <c r="D89" s="2" t="s">
        <v>58</v>
      </c>
      <c r="E89" s="198"/>
      <c r="F89" s="128">
        <f t="shared" si="6"/>
        <v>1741578.0518886922</v>
      </c>
      <c r="G89" s="128">
        <f t="shared" ref="G89:I89" si="9">$E$61+$E$55*$E$23+$I$34*$I$23+$I47*$I$23</f>
        <v>2391158.4108018745</v>
      </c>
      <c r="H89" s="128">
        <f t="shared" si="9"/>
        <v>2391158.4108018745</v>
      </c>
      <c r="I89" s="128">
        <f t="shared" si="9"/>
        <v>2391158.4108018745</v>
      </c>
      <c r="J89" s="2"/>
    </row>
    <row r="90" spans="1:10" x14ac:dyDescent="0.3">
      <c r="C90" s="2" t="s">
        <v>181</v>
      </c>
      <c r="D90" s="2" t="s">
        <v>58</v>
      </c>
      <c r="E90" s="198"/>
      <c r="F90" s="128">
        <f t="shared" si="6"/>
        <v>1741578.0518886922</v>
      </c>
      <c r="G90" s="128">
        <f t="shared" ref="G90:I90" si="10">$E$61+$E$55*$E$23+$I$34*$I$23+$I48*$I$23</f>
        <v>2556953.6036663782</v>
      </c>
      <c r="H90" s="128">
        <f t="shared" si="10"/>
        <v>2556953.6036663782</v>
      </c>
      <c r="I90" s="128">
        <f t="shared" si="10"/>
        <v>2556953.6036663782</v>
      </c>
      <c r="J90" s="2"/>
    </row>
    <row r="91" spans="1:10" x14ac:dyDescent="0.3">
      <c r="C91" s="2" t="s">
        <v>182</v>
      </c>
      <c r="D91" s="2" t="s">
        <v>58</v>
      </c>
      <c r="E91" s="198"/>
      <c r="F91" s="128">
        <f t="shared" si="6"/>
        <v>1741578.0518886922</v>
      </c>
      <c r="G91" s="128">
        <f t="shared" ref="G91:I91" si="11">$E$61+$E$55*$E$23+$I$34*$I$23+$I49*$I$23</f>
        <v>2817217.2835734743</v>
      </c>
      <c r="H91" s="128">
        <f t="shared" si="11"/>
        <v>2817217.2835734743</v>
      </c>
      <c r="I91" s="128">
        <f t="shared" si="11"/>
        <v>2817217.2835734743</v>
      </c>
      <c r="J91" s="2"/>
    </row>
    <row r="92" spans="1:10" x14ac:dyDescent="0.3">
      <c r="C92" s="2" t="s">
        <v>59</v>
      </c>
      <c r="D92" s="2" t="s">
        <v>58</v>
      </c>
      <c r="E92" s="198"/>
      <c r="F92" s="128">
        <f>$E$76*F81</f>
        <v>78288.602766316108</v>
      </c>
      <c r="G92" s="128">
        <f>$E$76*G81+$G$76*G82</f>
        <v>243564.54193965011</v>
      </c>
      <c r="H92" s="128">
        <f>$E$76*H81+$G$76*H82</f>
        <v>565417.68664561631</v>
      </c>
      <c r="I92" s="128">
        <f>$E$76*I81+$G$76*I82</f>
        <v>982956.90139930218</v>
      </c>
      <c r="J92" s="2"/>
    </row>
    <row r="93" spans="1:10" x14ac:dyDescent="0.3">
      <c r="C93" s="2"/>
      <c r="E93" s="11"/>
      <c r="F93" s="11"/>
      <c r="G93" s="11"/>
      <c r="H93" s="11"/>
      <c r="I93" s="11"/>
      <c r="J93" s="2"/>
    </row>
    <row r="94" spans="1:10" ht="14.4" x14ac:dyDescent="0.3">
      <c r="C94" s="31" t="s">
        <v>57</v>
      </c>
      <c r="E94" s="171">
        <f ca="1">COUNTIF(E85:$I85,"&lt;&gt;0")</f>
        <v>3</v>
      </c>
      <c r="F94" s="171">
        <f ca="1">COUNTIF(F85:$I85,"&lt;&gt;0")</f>
        <v>2</v>
      </c>
      <c r="G94" s="171">
        <f ca="1">COUNTIF(G85:$I85,"&lt;&gt;0")</f>
        <v>1</v>
      </c>
      <c r="H94" s="171">
        <f ca="1">COUNTIF(H85:$I85,"&lt;&gt;0")</f>
        <v>0</v>
      </c>
      <c r="I94" s="171">
        <f ca="1">COUNTIF(I85:$I85,"&lt;&gt;0")</f>
        <v>0</v>
      </c>
      <c r="J94" s="2"/>
    </row>
    <row r="95" spans="1:10" ht="14.4" x14ac:dyDescent="0.3">
      <c r="C95" s="31" t="s">
        <v>56</v>
      </c>
      <c r="E95" s="129">
        <f ca="1">(1+Assumptions!$B$6)^(E94-1)</f>
        <v>1.0557562500000002</v>
      </c>
      <c r="F95" s="129">
        <f ca="1">(1+Assumptions!$B$6)^(F94-1)</f>
        <v>1.0275000000000001</v>
      </c>
      <c r="G95" s="129">
        <f ca="1">(1+Assumptions!$B$6)^(G94-1)</f>
        <v>1</v>
      </c>
      <c r="H95" s="129">
        <f ca="1">(1+Assumptions!$B$6)^(H94-1)</f>
        <v>0.97323600973236002</v>
      </c>
      <c r="I95" s="129">
        <f ca="1">(1+Assumptions!$B$6)^(I94-1)</f>
        <v>0.97323600973236002</v>
      </c>
      <c r="J95" s="2"/>
    </row>
    <row r="96" spans="1:10" ht="14.4" x14ac:dyDescent="0.3">
      <c r="C96" s="31" t="s">
        <v>207</v>
      </c>
      <c r="E96" s="128">
        <f ca="1">SUMPRODUCT(E85:I85,E95:I95)</f>
        <v>11139155.986631664</v>
      </c>
      <c r="J96" s="2"/>
    </row>
    <row r="97" spans="1:18" ht="14.4" x14ac:dyDescent="0.3">
      <c r="C97" s="31"/>
      <c r="J97" s="2"/>
    </row>
    <row r="98" spans="1:18" x14ac:dyDescent="0.3">
      <c r="C98" s="38" t="s">
        <v>183</v>
      </c>
      <c r="J98" s="2"/>
    </row>
    <row r="99" spans="1:18" x14ac:dyDescent="0.3">
      <c r="C99" s="2" t="s">
        <v>51</v>
      </c>
      <c r="E99" s="128">
        <f t="shared" ref="E99:I99" ca="1" si="12">-E85</f>
        <v>-7988768.1635432243</v>
      </c>
      <c r="F99" s="128">
        <f t="shared" ca="1" si="12"/>
        <v>-2418301.2325497251</v>
      </c>
      <c r="G99" s="128">
        <f t="shared" ca="1" si="12"/>
        <v>-220159.55172503734</v>
      </c>
      <c r="H99" s="128">
        <f t="shared" ca="1" si="12"/>
        <v>0</v>
      </c>
      <c r="I99" s="128">
        <f t="shared" ca="1" si="12"/>
        <v>0</v>
      </c>
      <c r="J99" s="2"/>
      <c r="P99" s="134"/>
    </row>
    <row r="100" spans="1:18" s="4" customFormat="1" x14ac:dyDescent="0.3">
      <c r="A100" s="93"/>
      <c r="B100" s="93"/>
      <c r="C100" s="2" t="s">
        <v>184</v>
      </c>
      <c r="D100" s="93"/>
      <c r="E100" s="157">
        <f>SUM(E86:E92)</f>
        <v>0</v>
      </c>
      <c r="F100" s="205">
        <f t="shared" ref="F100:F105" si="13">F86+F$92</f>
        <v>1819866.6546550083</v>
      </c>
      <c r="G100" s="205">
        <f>G86+G$92</f>
        <v>2327225.0293131322</v>
      </c>
      <c r="H100" s="205">
        <f>H86+H$92</f>
        <v>2649078.1740190983</v>
      </c>
      <c r="I100" s="205">
        <f>I86+I$92</f>
        <v>3066617.3887727843</v>
      </c>
      <c r="J100" s="2"/>
      <c r="K100" s="157"/>
      <c r="L100" s="157"/>
      <c r="M100" s="157"/>
      <c r="N100" s="157"/>
      <c r="O100" s="157"/>
      <c r="P100" s="157"/>
      <c r="Q100" s="157"/>
      <c r="R100" s="157"/>
    </row>
    <row r="101" spans="1:18" x14ac:dyDescent="0.3">
      <c r="C101" s="2" t="s">
        <v>185</v>
      </c>
      <c r="E101" s="199"/>
      <c r="F101" s="205">
        <f t="shared" si="13"/>
        <v>1819866.6546550083</v>
      </c>
      <c r="G101" s="205">
        <f t="shared" ref="G101:I105" si="14">G87+G$92</f>
        <v>2404099.5101702302</v>
      </c>
      <c r="H101" s="205">
        <f t="shared" si="14"/>
        <v>2725952.6548761963</v>
      </c>
      <c r="I101" s="205">
        <f t="shared" si="14"/>
        <v>3143491.8696298823</v>
      </c>
      <c r="J101" s="2"/>
      <c r="P101" s="134"/>
    </row>
    <row r="102" spans="1:18" x14ac:dyDescent="0.3">
      <c r="C102" s="2" t="s">
        <v>186</v>
      </c>
      <c r="E102" s="199"/>
      <c r="F102" s="205">
        <f t="shared" si="13"/>
        <v>1819866.6546550083</v>
      </c>
      <c r="G102" s="205">
        <f t="shared" si="14"/>
        <v>2480973.9910273287</v>
      </c>
      <c r="H102" s="205">
        <f t="shared" si="14"/>
        <v>2802827.1357332948</v>
      </c>
      <c r="I102" s="205">
        <f t="shared" si="14"/>
        <v>3220366.3504869808</v>
      </c>
      <c r="J102" s="2"/>
      <c r="K102" s="157"/>
      <c r="L102" s="157"/>
      <c r="M102" s="157"/>
      <c r="N102" s="157"/>
      <c r="O102" s="157"/>
      <c r="P102" s="157"/>
      <c r="Q102" s="157"/>
      <c r="R102" s="157"/>
    </row>
    <row r="103" spans="1:18" x14ac:dyDescent="0.3">
      <c r="C103" s="2" t="s">
        <v>187</v>
      </c>
      <c r="E103" s="199"/>
      <c r="F103" s="205">
        <f t="shared" si="13"/>
        <v>1819866.6546550083</v>
      </c>
      <c r="G103" s="205">
        <f t="shared" si="14"/>
        <v>2634722.9527415247</v>
      </c>
      <c r="H103" s="205">
        <f t="shared" si="14"/>
        <v>2956576.0974474908</v>
      </c>
      <c r="I103" s="205">
        <f t="shared" si="14"/>
        <v>3374115.3122011768</v>
      </c>
      <c r="J103" s="2"/>
      <c r="P103" s="134"/>
    </row>
    <row r="104" spans="1:18" x14ac:dyDescent="0.3">
      <c r="C104" s="2" t="s">
        <v>188</v>
      </c>
      <c r="E104" s="199"/>
      <c r="F104" s="205">
        <f t="shared" si="13"/>
        <v>1819866.6546550083</v>
      </c>
      <c r="G104" s="205">
        <f t="shared" si="14"/>
        <v>2800518.1456060284</v>
      </c>
      <c r="H104" s="205">
        <f t="shared" si="14"/>
        <v>3122371.2903119945</v>
      </c>
      <c r="I104" s="205">
        <f t="shared" si="14"/>
        <v>3539910.5050656805</v>
      </c>
      <c r="J104" s="2"/>
      <c r="K104" s="157"/>
      <c r="L104" s="157"/>
      <c r="M104" s="157"/>
      <c r="N104" s="157"/>
      <c r="O104" s="157"/>
      <c r="P104" s="157"/>
      <c r="Q104" s="157"/>
      <c r="R104" s="157"/>
    </row>
    <row r="105" spans="1:18" x14ac:dyDescent="0.3">
      <c r="C105" s="2" t="s">
        <v>189</v>
      </c>
      <c r="E105" s="195"/>
      <c r="F105" s="206">
        <f t="shared" si="13"/>
        <v>1819866.6546550083</v>
      </c>
      <c r="G105" s="206">
        <f t="shared" si="14"/>
        <v>3060781.8255131245</v>
      </c>
      <c r="H105" s="206">
        <f t="shared" si="14"/>
        <v>3382634.9702190906</v>
      </c>
      <c r="I105" s="206">
        <f t="shared" si="14"/>
        <v>3800174.1849727766</v>
      </c>
      <c r="J105" s="2"/>
      <c r="P105" s="134"/>
    </row>
    <row r="106" spans="1:18" x14ac:dyDescent="0.3">
      <c r="C106" s="38" t="s">
        <v>190</v>
      </c>
      <c r="E106" s="132">
        <f t="shared" ref="E106:F106" ca="1" si="15">E$99+E100</f>
        <v>-7988768.1635432243</v>
      </c>
      <c r="F106" s="132">
        <f t="shared" ca="1" si="15"/>
        <v>-598434.57789471676</v>
      </c>
      <c r="G106" s="132">
        <f ca="1">G$99+G100</f>
        <v>2107065.4775880948</v>
      </c>
      <c r="H106" s="132">
        <f t="shared" ref="H106:I106" ca="1" si="16">H$99+H100</f>
        <v>2649078.1740190983</v>
      </c>
      <c r="I106" s="132">
        <f t="shared" ca="1" si="16"/>
        <v>3066617.3887727843</v>
      </c>
      <c r="J106" s="2"/>
      <c r="K106" s="157"/>
      <c r="L106" s="157"/>
      <c r="M106" s="157"/>
      <c r="N106" s="157"/>
      <c r="O106" s="157"/>
      <c r="P106" s="157"/>
      <c r="Q106" s="157"/>
      <c r="R106" s="157"/>
    </row>
    <row r="107" spans="1:18" x14ac:dyDescent="0.3">
      <c r="C107" s="38" t="s">
        <v>191</v>
      </c>
      <c r="E107" s="132">
        <f t="shared" ref="E107:I107" ca="1" si="17">E$99+E101</f>
        <v>-7988768.1635432243</v>
      </c>
      <c r="F107" s="132">
        <f t="shared" ca="1" si="17"/>
        <v>-598434.57789471676</v>
      </c>
      <c r="G107" s="132">
        <f t="shared" ca="1" si="17"/>
        <v>2183939.9584451928</v>
      </c>
      <c r="H107" s="132">
        <f t="shared" ca="1" si="17"/>
        <v>2725952.6548761963</v>
      </c>
      <c r="I107" s="132">
        <f t="shared" ca="1" si="17"/>
        <v>3143491.8696298823</v>
      </c>
      <c r="J107" s="2"/>
      <c r="P107" s="134"/>
    </row>
    <row r="108" spans="1:18" x14ac:dyDescent="0.3">
      <c r="C108" s="38" t="s">
        <v>192</v>
      </c>
      <c r="E108" s="132">
        <f t="shared" ref="E108:I108" ca="1" si="18">E$99+E102</f>
        <v>-7988768.1635432243</v>
      </c>
      <c r="F108" s="132">
        <f t="shared" ca="1" si="18"/>
        <v>-598434.57789471676</v>
      </c>
      <c r="G108" s="132">
        <f t="shared" ca="1" si="18"/>
        <v>2260814.4393022913</v>
      </c>
      <c r="H108" s="132">
        <f t="shared" ca="1" si="18"/>
        <v>2802827.1357332948</v>
      </c>
      <c r="I108" s="132">
        <f t="shared" ca="1" si="18"/>
        <v>3220366.3504869808</v>
      </c>
      <c r="J108" s="2"/>
      <c r="K108" s="157"/>
      <c r="L108" s="157"/>
      <c r="M108" s="157"/>
      <c r="N108" s="157"/>
      <c r="O108" s="157"/>
      <c r="P108" s="157"/>
      <c r="Q108" s="157"/>
      <c r="R108" s="157"/>
    </row>
    <row r="109" spans="1:18" x14ac:dyDescent="0.3">
      <c r="C109" s="38" t="s">
        <v>193</v>
      </c>
      <c r="E109" s="132">
        <f t="shared" ref="E109:I109" ca="1" si="19">E$99+E103</f>
        <v>-7988768.1635432243</v>
      </c>
      <c r="F109" s="132">
        <f t="shared" ca="1" si="19"/>
        <v>-598434.57789471676</v>
      </c>
      <c r="G109" s="132">
        <f t="shared" ca="1" si="19"/>
        <v>2414563.4010164873</v>
      </c>
      <c r="H109" s="132">
        <f t="shared" ca="1" si="19"/>
        <v>2956576.0974474908</v>
      </c>
      <c r="I109" s="132">
        <f t="shared" ca="1" si="19"/>
        <v>3374115.3122011768</v>
      </c>
      <c r="J109" s="2"/>
      <c r="P109" s="134"/>
    </row>
    <row r="110" spans="1:18" x14ac:dyDescent="0.3">
      <c r="C110" s="38" t="s">
        <v>194</v>
      </c>
      <c r="E110" s="132">
        <f t="shared" ref="E110:I110" ca="1" si="20">E$99+E104</f>
        <v>-7988768.1635432243</v>
      </c>
      <c r="F110" s="132">
        <f t="shared" ca="1" si="20"/>
        <v>-598434.57789471676</v>
      </c>
      <c r="G110" s="132">
        <f t="shared" ca="1" si="20"/>
        <v>2580358.593880991</v>
      </c>
      <c r="H110" s="132">
        <f t="shared" ca="1" si="20"/>
        <v>3122371.2903119945</v>
      </c>
      <c r="I110" s="132">
        <f t="shared" ca="1" si="20"/>
        <v>3539910.5050656805</v>
      </c>
      <c r="J110" s="2"/>
      <c r="K110" s="157"/>
      <c r="L110" s="157"/>
      <c r="M110" s="157"/>
      <c r="N110" s="157"/>
      <c r="O110" s="157"/>
      <c r="P110" s="157"/>
      <c r="Q110" s="157"/>
      <c r="R110" s="157"/>
    </row>
    <row r="111" spans="1:18" x14ac:dyDescent="0.3">
      <c r="C111" s="38" t="s">
        <v>195</v>
      </c>
      <c r="E111" s="132">
        <f t="shared" ref="E111:I111" ca="1" si="21">E$99+E105</f>
        <v>-7988768.1635432243</v>
      </c>
      <c r="F111" s="132">
        <f t="shared" ca="1" si="21"/>
        <v>-598434.57789471676</v>
      </c>
      <c r="G111" s="132">
        <f t="shared" ca="1" si="21"/>
        <v>2840622.2737880871</v>
      </c>
      <c r="H111" s="132">
        <f t="shared" ca="1" si="21"/>
        <v>3382634.9702190906</v>
      </c>
      <c r="I111" s="132">
        <f t="shared" ca="1" si="21"/>
        <v>3800174.1849727766</v>
      </c>
      <c r="J111" s="2"/>
    </row>
    <row r="112" spans="1:18" x14ac:dyDescent="0.3">
      <c r="E112" s="2"/>
      <c r="J112" s="2"/>
    </row>
    <row r="113" spans="2:17" ht="14.4" x14ac:dyDescent="0.3">
      <c r="B113" s="110" t="s">
        <v>196</v>
      </c>
      <c r="E113" s="132">
        <f ca="1">NPV(Assumptions!$B$6,Benefits!E106:I106)</f>
        <v>-1345123.1136306694</v>
      </c>
      <c r="J113" s="2"/>
    </row>
    <row r="114" spans="2:17" ht="14.4" x14ac:dyDescent="0.3">
      <c r="B114" s="110" t="s">
        <v>197</v>
      </c>
      <c r="E114" s="132">
        <f ca="1">NPV(Assumptions!$B$6,Benefits!E107:I107)</f>
        <v>-1138164.9016020917</v>
      </c>
      <c r="J114" s="2"/>
    </row>
    <row r="115" spans="2:17" ht="14.4" x14ac:dyDescent="0.3">
      <c r="B115" s="110" t="s">
        <v>197</v>
      </c>
      <c r="E115" s="132">
        <f ca="1">NPV(Assumptions!$B$6,Benefits!E108:I108)</f>
        <v>-931206.68957351346</v>
      </c>
      <c r="J115" s="2"/>
    </row>
    <row r="116" spans="2:17" ht="14.4" x14ac:dyDescent="0.3">
      <c r="B116" s="110" t="s">
        <v>198</v>
      </c>
      <c r="E116" s="132">
        <f ca="1">NPV(Assumptions!$B$6,Benefits!E109:I109)</f>
        <v>-517290.2655163607</v>
      </c>
      <c r="J116" s="2"/>
    </row>
    <row r="117" spans="2:17" ht="14.4" x14ac:dyDescent="0.3">
      <c r="B117" s="110" t="s">
        <v>199</v>
      </c>
      <c r="E117" s="132">
        <f ca="1">NPV(Assumptions!$B$6,Benefits!E110:I110)</f>
        <v>-70943.489634326746</v>
      </c>
      <c r="J117" s="2"/>
    </row>
    <row r="118" spans="2:17" ht="14.4" x14ac:dyDescent="0.3">
      <c r="B118" s="110" t="s">
        <v>200</v>
      </c>
      <c r="E118" s="132">
        <f ca="1">NPV(Assumptions!$B$6,Benefits!E111:I111)</f>
        <v>629727.33440255641</v>
      </c>
      <c r="J118" s="2"/>
    </row>
    <row r="119" spans="2:17" x14ac:dyDescent="0.3">
      <c r="J119" s="2"/>
    </row>
    <row r="120" spans="2:17" x14ac:dyDescent="0.3">
      <c r="C120" s="127" t="s">
        <v>201</v>
      </c>
      <c r="D120" s="108"/>
      <c r="E120" s="108" t="s">
        <v>15</v>
      </c>
      <c r="F120" s="108" t="s">
        <v>16</v>
      </c>
      <c r="G120" s="108" t="s">
        <v>17</v>
      </c>
      <c r="H120" s="108" t="s">
        <v>18</v>
      </c>
      <c r="I120" s="108" t="s">
        <v>19</v>
      </c>
      <c r="J120" s="2"/>
    </row>
    <row r="121" spans="2:17" x14ac:dyDescent="0.3">
      <c r="C121" s="2" t="s">
        <v>60</v>
      </c>
      <c r="D121" s="2" t="s">
        <v>58</v>
      </c>
      <c r="E121" s="132">
        <f>'Updated program'!R86</f>
        <v>6987089</v>
      </c>
      <c r="F121" s="132">
        <f>'Updated program'!S86</f>
        <v>0</v>
      </c>
      <c r="G121" s="132">
        <f>'Updated program'!T86</f>
        <v>0</v>
      </c>
      <c r="H121" s="132">
        <f>'Updated program'!U86</f>
        <v>0</v>
      </c>
      <c r="I121" s="132">
        <f>'Updated program'!V86</f>
        <v>0</v>
      </c>
      <c r="J121" s="2"/>
    </row>
    <row r="122" spans="2:17" x14ac:dyDescent="0.3">
      <c r="C122" s="2" t="s">
        <v>130</v>
      </c>
      <c r="D122" s="2" t="s">
        <v>58</v>
      </c>
      <c r="E122" s="198"/>
      <c r="F122" s="132">
        <f>$E$61+$E$55*$E$23</f>
        <v>1741578.0518886922</v>
      </c>
      <c r="G122" s="132">
        <f>$E$61+$E$55*$E$23</f>
        <v>1741578.0518886922</v>
      </c>
      <c r="H122" s="132">
        <f>$E$61+$E$55*$E$23</f>
        <v>1741578.0518886922</v>
      </c>
      <c r="I122" s="132">
        <f>$E$61+$E$55*$E$23</f>
        <v>1741578.0518886922</v>
      </c>
      <c r="J122" s="2"/>
      <c r="L122" s="140"/>
      <c r="M122" s="140"/>
      <c r="N122" s="140"/>
      <c r="O122" s="140"/>
      <c r="P122" s="140"/>
    </row>
    <row r="123" spans="2:17" x14ac:dyDescent="0.3">
      <c r="C123" s="2" t="s">
        <v>59</v>
      </c>
      <c r="D123" s="2" t="s">
        <v>58</v>
      </c>
      <c r="E123" s="198"/>
      <c r="F123" s="132">
        <f>$E$76*F81</f>
        <v>78288.602766316108</v>
      </c>
      <c r="G123" s="132">
        <f>$E$76*G81</f>
        <v>156577.20553263222</v>
      </c>
      <c r="H123" s="132">
        <f>$E$76*H81</f>
        <v>391443.01383158052</v>
      </c>
      <c r="I123" s="132">
        <f>$E$76*I81</f>
        <v>548020.21936421271</v>
      </c>
      <c r="J123" s="2"/>
    </row>
    <row r="124" spans="2:17" x14ac:dyDescent="0.3">
      <c r="E124" s="11"/>
      <c r="F124" s="11"/>
      <c r="G124" s="11"/>
      <c r="H124" s="11"/>
      <c r="I124" s="11"/>
      <c r="J124" s="2"/>
      <c r="M124" s="2"/>
      <c r="P124" s="211"/>
      <c r="Q124" s="209"/>
    </row>
    <row r="125" spans="2:17" ht="14.4" x14ac:dyDescent="0.3">
      <c r="C125" s="31" t="s">
        <v>57</v>
      </c>
      <c r="E125" s="207">
        <f>COUNTIF(E121:$I121,"&lt;&gt;0")</f>
        <v>1</v>
      </c>
      <c r="F125" s="207">
        <f>COUNTIF(F121:$I121,"&lt;&gt;0")</f>
        <v>0</v>
      </c>
      <c r="G125" s="207">
        <f>COUNTIF(G121:$I121,"&lt;&gt;0")</f>
        <v>0</v>
      </c>
      <c r="H125" s="207">
        <f>COUNTIF(H121:$I121,"&lt;&gt;0")</f>
        <v>0</v>
      </c>
      <c r="I125" s="207">
        <f>COUNTIF(I121:$I121,"&lt;&gt;0")</f>
        <v>0</v>
      </c>
      <c r="J125" s="2"/>
      <c r="Q125" s="119"/>
    </row>
    <row r="126" spans="2:17" ht="14.4" x14ac:dyDescent="0.3">
      <c r="C126" s="31" t="s">
        <v>56</v>
      </c>
      <c r="E126" s="208">
        <f>(1+Assumptions!$B$6)^(E125-1)</f>
        <v>1</v>
      </c>
      <c r="F126" s="208">
        <f>(1+Assumptions!$B$6)^(F125-1)</f>
        <v>0.97323600973236002</v>
      </c>
      <c r="G126" s="208">
        <f>(1+Assumptions!$B$6)^(G125-1)</f>
        <v>0.97323600973236002</v>
      </c>
      <c r="H126" s="208">
        <f>(1+Assumptions!$B$6)^(H125-1)</f>
        <v>0.97323600973236002</v>
      </c>
      <c r="I126" s="208">
        <f>(1+Assumptions!$B$6)^(I125-1)</f>
        <v>0.97323600973236002</v>
      </c>
      <c r="J126" s="2"/>
      <c r="M126" s="2"/>
      <c r="P126" s="211"/>
      <c r="Q126" s="210"/>
    </row>
    <row r="127" spans="2:17" ht="14.4" x14ac:dyDescent="0.3">
      <c r="C127" s="31" t="s">
        <v>207</v>
      </c>
      <c r="E127" s="132">
        <f>SUMPRODUCT(E121:I121,E126:I126)</f>
        <v>6987089</v>
      </c>
      <c r="F127" s="2"/>
      <c r="G127" s="2"/>
      <c r="H127" s="2"/>
      <c r="I127" s="2"/>
      <c r="J127" s="2"/>
    </row>
    <row r="128" spans="2:17" ht="14.4" x14ac:dyDescent="0.3">
      <c r="C128" s="31"/>
      <c r="J128" s="2"/>
    </row>
    <row r="129" spans="2:16" ht="14.4" x14ac:dyDescent="0.3">
      <c r="C129" s="31" t="s">
        <v>55</v>
      </c>
      <c r="E129" s="194">
        <v>0</v>
      </c>
      <c r="F129" s="132">
        <f>-PMT(Assumptions!$B$6,$D$80,-$E$127,0,0)</f>
        <v>-1514789.1583786332</v>
      </c>
      <c r="G129" s="132">
        <f>-PMT(Assumptions!$B$6,$D$80,-$E$127,0,0)</f>
        <v>-1514789.1583786332</v>
      </c>
      <c r="H129" s="132">
        <f>-PMT(Assumptions!$B$6,$D$80,-$E$127,0,0)</f>
        <v>-1514789.1583786332</v>
      </c>
      <c r="I129" s="132">
        <f>-PMT(Assumptions!$B$6,$D$80,-$E$127,0,0)</f>
        <v>-1514789.1583786332</v>
      </c>
      <c r="J129" s="2"/>
    </row>
    <row r="130" spans="2:16" ht="14.4" x14ac:dyDescent="0.3">
      <c r="C130" s="31" t="s">
        <v>54</v>
      </c>
      <c r="E130" s="195">
        <v>0</v>
      </c>
      <c r="F130" s="206">
        <f>SUM(F122:F123)</f>
        <v>1819866.6546550083</v>
      </c>
      <c r="G130" s="206">
        <f t="shared" ref="G130:I130" si="22">SUM(G122:G123)</f>
        <v>1898155.2574213245</v>
      </c>
      <c r="H130" s="206">
        <f t="shared" si="22"/>
        <v>2133021.0657202727</v>
      </c>
      <c r="I130" s="206">
        <f t="shared" si="22"/>
        <v>2289598.271252905</v>
      </c>
      <c r="J130" s="2"/>
      <c r="P130" s="211"/>
    </row>
    <row r="131" spans="2:16" ht="14.4" x14ac:dyDescent="0.3">
      <c r="C131" s="110" t="s">
        <v>53</v>
      </c>
      <c r="E131" s="128">
        <f>SUM(E129:E130)</f>
        <v>0</v>
      </c>
      <c r="F131" s="132">
        <f t="shared" ref="F131:I131" si="23">SUM(F129:F130)</f>
        <v>305077.49627637514</v>
      </c>
      <c r="G131" s="132">
        <f t="shared" si="23"/>
        <v>383366.09904269129</v>
      </c>
      <c r="H131" s="132">
        <f t="shared" si="23"/>
        <v>618231.90734163951</v>
      </c>
      <c r="I131" s="132">
        <f t="shared" si="23"/>
        <v>774809.11287427181</v>
      </c>
      <c r="J131" s="2"/>
      <c r="P131" s="211"/>
    </row>
    <row r="132" spans="2:16" x14ac:dyDescent="0.3">
      <c r="J132" s="2"/>
      <c r="P132" s="211"/>
    </row>
    <row r="133" spans="2:16" x14ac:dyDescent="0.3">
      <c r="J133" s="2"/>
    </row>
    <row r="134" spans="2:16" x14ac:dyDescent="0.3">
      <c r="C134" s="113" t="s">
        <v>52</v>
      </c>
      <c r="J134" s="2"/>
    </row>
    <row r="135" spans="2:16" x14ac:dyDescent="0.3">
      <c r="C135" s="93" t="s">
        <v>51</v>
      </c>
      <c r="E135" s="128">
        <f t="shared" ref="E135:I135" si="24">-E121</f>
        <v>-6987089</v>
      </c>
      <c r="F135" s="128">
        <f t="shared" si="24"/>
        <v>0</v>
      </c>
      <c r="G135" s="128">
        <f t="shared" si="24"/>
        <v>0</v>
      </c>
      <c r="H135" s="128">
        <f t="shared" si="24"/>
        <v>0</v>
      </c>
      <c r="I135" s="128">
        <f t="shared" si="24"/>
        <v>0</v>
      </c>
      <c r="J135" s="2"/>
    </row>
    <row r="136" spans="2:16" x14ac:dyDescent="0.3">
      <c r="C136" s="93" t="s">
        <v>50</v>
      </c>
      <c r="E136" s="131">
        <f>SUM(E122:E123)</f>
        <v>0</v>
      </c>
      <c r="F136" s="131">
        <f t="shared" ref="F136:I136" si="25">SUM(F122:F123)</f>
        <v>1819866.6546550083</v>
      </c>
      <c r="G136" s="131">
        <f t="shared" si="25"/>
        <v>1898155.2574213245</v>
      </c>
      <c r="H136" s="131">
        <f t="shared" si="25"/>
        <v>2133021.0657202727</v>
      </c>
      <c r="I136" s="131">
        <f t="shared" si="25"/>
        <v>2289598.271252905</v>
      </c>
      <c r="J136" s="2"/>
    </row>
    <row r="137" spans="2:16" x14ac:dyDescent="0.3">
      <c r="C137" s="113" t="s">
        <v>116</v>
      </c>
      <c r="E137" s="132">
        <f>SUM(E135:E136)</f>
        <v>-6987089</v>
      </c>
      <c r="F137" s="132">
        <f t="shared" ref="F137:I137" si="26">SUM(F135:F136)</f>
        <v>1819866.6546550083</v>
      </c>
      <c r="G137" s="132">
        <f t="shared" si="26"/>
        <v>1898155.2574213245</v>
      </c>
      <c r="H137" s="132">
        <f t="shared" si="26"/>
        <v>2133021.0657202727</v>
      </c>
      <c r="I137" s="132">
        <f t="shared" si="26"/>
        <v>2289598.271252905</v>
      </c>
      <c r="J137" s="2"/>
    </row>
    <row r="138" spans="2:16" x14ac:dyDescent="0.3">
      <c r="J138" s="2"/>
    </row>
    <row r="139" spans="2:16" ht="14.4" x14ac:dyDescent="0.3">
      <c r="B139" s="110" t="s">
        <v>170</v>
      </c>
      <c r="E139" s="132">
        <f>NPV(Assumptions!$B$6,Benefits!E137:I137)</f>
        <v>586306.38626238634</v>
      </c>
      <c r="F139" s="134"/>
      <c r="J139" s="2"/>
    </row>
    <row r="141" spans="2:16" x14ac:dyDescent="0.3">
      <c r="G141" s="130"/>
    </row>
    <row r="145" spans="5:5" x14ac:dyDescent="0.3">
      <c r="E145" s="130">
        <f>E121-'Updated program'!R86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Output_VPN</vt:lpstr>
      <vt:lpstr>Output_UE</vt:lpstr>
      <vt:lpstr>Summary</vt:lpstr>
      <vt:lpstr>Assumptions</vt:lpstr>
      <vt:lpstr>Updated program</vt:lpstr>
      <vt:lpstr>Benefits</vt:lpstr>
      <vt:lpstr>Conv_2021</vt:lpstr>
      <vt:lpstr>Option1_categories</vt:lpstr>
      <vt:lpstr>Option1_costs</vt:lpstr>
      <vt:lpstr>Summary!Print_Area</vt:lpstr>
      <vt:lpstr>years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2019-11-22T04:22:57Z</dcterms:created>
  <dcterms:modified xsi:type="dcterms:W3CDTF">2020-11-29T22:44:48Z</dcterms:modified>
</cp:coreProperties>
</file>