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xr:revisionPtr revIDLastSave="0" documentId="13_ncr:1_{9AA0463E-152B-4A22-A6F7-7FB1ACFE93B4}" xr6:coauthVersionLast="45" xr6:coauthVersionMax="45" xr10:uidLastSave="{00000000-0000-0000-0000-000000000000}"/>
  <bookViews>
    <workbookView xWindow="1335" yWindow="0" windowWidth="22290" windowHeight="16200" tabRatio="908" activeTab="2" xr2:uid="{00000000-000D-0000-FFFF-FFFF00000000}"/>
  </bookViews>
  <sheets>
    <sheet name="Output" sheetId="1" r:id="rId1"/>
    <sheet name="Summary" sheetId="48" r:id="rId2"/>
    <sheet name="Assumptions" sheetId="3" r:id="rId3"/>
    <sheet name="5 minute settlement" sheetId="19" r:id="rId4"/>
    <sheet name="Security of Critical Infr" sheetId="20" r:id="rId5"/>
    <sheet name="Solar enablement" sheetId="28" r:id="rId6"/>
    <sheet name="IT cloud solutions" sheetId="35" r:id="rId7"/>
  </sheets>
  <externalReferences>
    <externalReference r:id="rId8"/>
  </externalReferences>
  <definedNames>
    <definedName name="BaseYear">Assumptions!$D$14</definedName>
    <definedName name="CP_cost_split">Assumptions!$D$11</definedName>
    <definedName name="CP_count">Summary!$S$17</definedName>
    <definedName name="CP_cust_share">Assumptions!$F$24</definedName>
    <definedName name="CP_only">1</definedName>
    <definedName name="CP_only_CP">1</definedName>
    <definedName name="CP_only_PAL">1-CP_only_CP</definedName>
    <definedName name="days_per_year">365.25</definedName>
    <definedName name="PAL_cost_split">Assumptions!$D$12</definedName>
    <definedName name="PAL_cust_share">Assumptions!$F$25</definedName>
    <definedName name="PAL_only">100%</definedName>
    <definedName name="PAL_only_CP">1-PAL_only_PAL</definedName>
    <definedName name="PAL_only_PAL">1</definedName>
    <definedName name="Year_of_Currency">Assumptions!$D$13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8" l="1"/>
  <c r="A2" i="20" l="1"/>
  <c r="B59" i="20" l="1"/>
  <c r="B70" i="28" l="1"/>
  <c r="G66" i="28"/>
  <c r="G67" i="28"/>
  <c r="B67" i="28"/>
  <c r="Q59" i="28"/>
  <c r="P59" i="28"/>
  <c r="O59" i="28"/>
  <c r="N59" i="28"/>
  <c r="M59" i="28"/>
  <c r="N58" i="28"/>
  <c r="O58" i="28"/>
  <c r="P58" i="28"/>
  <c r="Q58" i="28"/>
  <c r="M58" i="28"/>
  <c r="M64" i="28"/>
  <c r="N64" i="28"/>
  <c r="O64" i="28"/>
  <c r="P64" i="28"/>
  <c r="Q64" i="28"/>
  <c r="C37" i="28"/>
  <c r="C31" i="28"/>
  <c r="C30" i="28"/>
  <c r="S18" i="28"/>
  <c r="H17" i="3"/>
  <c r="L38" i="3"/>
  <c r="M38" i="3" s="1"/>
  <c r="R35" i="3"/>
  <c r="Q35" i="3"/>
  <c r="P35" i="3"/>
  <c r="O35" i="3"/>
  <c r="N35" i="3"/>
  <c r="A2" i="19"/>
  <c r="A2" i="35"/>
  <c r="B21" i="35" s="1"/>
  <c r="M3" i="48"/>
  <c r="N3" i="48"/>
  <c r="O3" i="48"/>
  <c r="P3" i="48"/>
  <c r="Q3" i="48"/>
  <c r="D12" i="3"/>
  <c r="H7" i="48"/>
  <c r="H9" i="48"/>
  <c r="H10" i="48"/>
  <c r="A2" i="48"/>
  <c r="A2" i="1"/>
  <c r="A2" i="3"/>
  <c r="F9" i="48"/>
  <c r="U3" i="19"/>
  <c r="S17" i="35"/>
  <c r="S18" i="35"/>
  <c r="S17" i="19"/>
  <c r="S18" i="19"/>
  <c r="S58" i="28" l="1"/>
  <c r="I17" i="3"/>
  <c r="J17" i="3" s="1"/>
  <c r="S59" i="28"/>
  <c r="S64" i="28"/>
  <c r="C32" i="28"/>
  <c r="B17" i="35"/>
  <c r="F8" i="48"/>
  <c r="F10" i="48"/>
  <c r="B18" i="35"/>
  <c r="F7" i="48"/>
  <c r="B18" i="19"/>
  <c r="B17" i="19"/>
  <c r="B21" i="19"/>
  <c r="O46" i="28" l="1"/>
  <c r="O60" i="28" s="1"/>
  <c r="O61" i="28" s="1"/>
  <c r="P46" i="28"/>
  <c r="P60" i="28" s="1"/>
  <c r="P61" i="28" s="1"/>
  <c r="N46" i="28"/>
  <c r="N60" i="28" s="1"/>
  <c r="N61" i="28" s="1"/>
  <c r="M46" i="28"/>
  <c r="M60" i="28" s="1"/>
  <c r="Q46" i="28"/>
  <c r="Q60" i="28" s="1"/>
  <c r="Q61" i="28" s="1"/>
  <c r="N66" i="28" l="1"/>
  <c r="N67" i="28"/>
  <c r="P66" i="28"/>
  <c r="P67" i="28"/>
  <c r="Q66" i="28"/>
  <c r="Q67" i="28"/>
  <c r="O66" i="28"/>
  <c r="O67" i="28"/>
  <c r="M61" i="28"/>
  <c r="S60" i="28"/>
  <c r="S61" i="28" s="1"/>
  <c r="M66" i="28" l="1"/>
  <c r="S66" i="28" s="1"/>
  <c r="M67" i="28"/>
  <c r="S67" i="28" l="1"/>
  <c r="Q30" i="3" l="1"/>
  <c r="Q37" i="3" s="1"/>
  <c r="R30" i="3"/>
  <c r="R37" i="3" s="1"/>
  <c r="N30" i="3"/>
  <c r="N37" i="3" s="1"/>
  <c r="N38" i="3" s="1"/>
  <c r="O30" i="3"/>
  <c r="O37" i="3" s="1"/>
  <c r="P30" i="3"/>
  <c r="P37" i="3" s="1"/>
  <c r="N21" i="19" l="1"/>
  <c r="P21" i="19"/>
  <c r="O38" i="3"/>
  <c r="M21" i="19"/>
  <c r="M70" i="28"/>
  <c r="O21" i="19"/>
  <c r="M21" i="35"/>
  <c r="Q21" i="19"/>
  <c r="N7" i="48"/>
  <c r="Q7" i="48"/>
  <c r="P7" i="48"/>
  <c r="O7" i="48"/>
  <c r="M8" i="48"/>
  <c r="M10" i="48"/>
  <c r="M9" i="48"/>
  <c r="M7" i="48"/>
  <c r="M16" i="48" l="1"/>
  <c r="S7" i="48"/>
  <c r="S21" i="19"/>
  <c r="P38" i="3"/>
  <c r="N21" i="35"/>
  <c r="N70" i="28"/>
  <c r="N10" i="48"/>
  <c r="N8" i="48"/>
  <c r="N9" i="48"/>
  <c r="N16" i="48" l="1"/>
  <c r="O21" i="35"/>
  <c r="Q38" i="3"/>
  <c r="O70" i="28"/>
  <c r="O10" i="48"/>
  <c r="O8" i="48"/>
  <c r="O9" i="48"/>
  <c r="O16" i="48" l="1"/>
  <c r="P21" i="35"/>
  <c r="P70" i="28"/>
  <c r="R38" i="3"/>
  <c r="P10" i="48"/>
  <c r="P9" i="48"/>
  <c r="P8" i="48"/>
  <c r="P16" i="48" l="1"/>
  <c r="Q70" i="28"/>
  <c r="Q21" i="35"/>
  <c r="S21" i="35" s="1"/>
  <c r="Q10" i="48"/>
  <c r="Q9" i="48"/>
  <c r="Q8" i="48"/>
  <c r="Q16" i="48" l="1"/>
  <c r="S8" i="48"/>
  <c r="S10" i="48"/>
  <c r="S9" i="48"/>
  <c r="S59" i="20"/>
  <c r="S70" i="28"/>
  <c r="C10" i="48" l="1"/>
  <c r="D10" i="48" s="1"/>
  <c r="C9" i="48"/>
  <c r="D9" i="48" s="1"/>
  <c r="C8" i="48"/>
  <c r="D8" i="48" s="1"/>
  <c r="S16" i="48"/>
  <c r="S17" i="48"/>
  <c r="A8" i="1" s="1"/>
  <c r="C7" i="48"/>
  <c r="D7" i="48" s="1"/>
  <c r="Q8" i="1" l="1"/>
  <c r="P8" i="1"/>
  <c r="O8" i="1"/>
  <c r="N8" i="1"/>
  <c r="B8" i="1"/>
  <c r="M8" i="1"/>
  <c r="A9" i="1"/>
  <c r="P7" i="1"/>
  <c r="O7" i="1"/>
  <c r="N7" i="1"/>
  <c r="M7" i="1"/>
  <c r="Q7" i="1"/>
  <c r="B7" i="1"/>
  <c r="S8" i="1" l="1"/>
  <c r="S7" i="1"/>
  <c r="M9" i="1"/>
  <c r="A10" i="1"/>
  <c r="P9" i="1"/>
  <c r="O9" i="1"/>
  <c r="N9" i="1"/>
  <c r="Q9" i="1"/>
  <c r="B9" i="1"/>
  <c r="Q10" i="1" l="1"/>
  <c r="B10" i="1"/>
  <c r="P10" i="1"/>
  <c r="A11" i="1"/>
  <c r="O10" i="1"/>
  <c r="N10" i="1"/>
  <c r="M10" i="1"/>
  <c r="S9" i="1"/>
  <c r="S10" i="1" l="1"/>
  <c r="M11" i="1"/>
  <c r="Q11" i="1"/>
  <c r="P11" i="1"/>
  <c r="N11" i="1"/>
  <c r="B11" i="1"/>
  <c r="A12" i="1"/>
  <c r="O11" i="1"/>
  <c r="O12" i="1" l="1"/>
  <c r="N12" i="1"/>
  <c r="Q12" i="1"/>
  <c r="P12" i="1"/>
  <c r="A13" i="1"/>
  <c r="B12" i="1"/>
  <c r="M12" i="1"/>
  <c r="S11" i="1"/>
  <c r="S12" i="1" l="1"/>
  <c r="P13" i="1"/>
  <c r="Q13" i="1"/>
  <c r="N13" i="1"/>
  <c r="B13" i="1"/>
  <c r="O13" i="1"/>
  <c r="M13" i="1"/>
  <c r="A14" i="1"/>
  <c r="Q14" i="1" l="1"/>
  <c r="P14" i="1"/>
  <c r="A15" i="1"/>
  <c r="N14" i="1"/>
  <c r="B14" i="1"/>
  <c r="O14" i="1"/>
  <c r="M14" i="1"/>
  <c r="S13" i="1"/>
  <c r="S14" i="1" l="1"/>
  <c r="P15" i="1"/>
  <c r="B15" i="1"/>
  <c r="O15" i="1"/>
  <c r="M15" i="1"/>
  <c r="A16" i="1"/>
  <c r="N15" i="1"/>
  <c r="Q15" i="1"/>
  <c r="S15" i="1" l="1"/>
  <c r="Q16" i="1"/>
  <c r="Q20" i="1" s="1"/>
  <c r="A17" i="1"/>
  <c r="P16" i="1"/>
  <c r="P20" i="1" s="1"/>
  <c r="O16" i="1"/>
  <c r="O20" i="1" s="1"/>
  <c r="B16" i="1"/>
  <c r="N16" i="1"/>
  <c r="N20" i="1" s="1"/>
  <c r="M16" i="1"/>
  <c r="M20" i="1" l="1"/>
  <c r="S16" i="1"/>
  <c r="Q17" i="1"/>
  <c r="B17" i="1"/>
  <c r="M17" i="1"/>
  <c r="A18" i="1"/>
  <c r="O17" i="1"/>
  <c r="N17" i="1"/>
  <c r="P17" i="1"/>
  <c r="B18" i="1" l="1"/>
  <c r="M18" i="1"/>
  <c r="Q18" i="1"/>
  <c r="A19" i="1"/>
  <c r="B19" i="1" s="1"/>
  <c r="P18" i="1"/>
  <c r="O18" i="1"/>
  <c r="N18" i="1"/>
  <c r="D2" i="1"/>
  <c r="S17" i="1"/>
  <c r="S18" i="1" l="1"/>
  <c r="S20" i="1" s="1"/>
</calcChain>
</file>

<file path=xl/sharedStrings.xml><?xml version="1.0" encoding="utf-8"?>
<sst xmlns="http://schemas.openxmlformats.org/spreadsheetml/2006/main" count="204" uniqueCount="103">
  <si>
    <t>Opex Step Changes</t>
  </si>
  <si>
    <t>Inflation</t>
  </si>
  <si>
    <t>General assumptions</t>
  </si>
  <si>
    <t>Business</t>
  </si>
  <si>
    <t>VPN</t>
  </si>
  <si>
    <t>Total</t>
  </si>
  <si>
    <t>Customer numbers</t>
  </si>
  <si>
    <t>CitiPower</t>
  </si>
  <si>
    <t>Calculations</t>
  </si>
  <si>
    <t>Check</t>
  </si>
  <si>
    <t>Year of currency for inputs</t>
  </si>
  <si>
    <t>CP_cust_share</t>
  </si>
  <si>
    <t>PAL_cust_share</t>
  </si>
  <si>
    <t>The indentified need</t>
  </si>
  <si>
    <t>Reported Dollars for 2021-26</t>
  </si>
  <si>
    <t>2019/20</t>
  </si>
  <si>
    <t>2020/21</t>
  </si>
  <si>
    <t>2021/22</t>
  </si>
  <si>
    <t>2022/23</t>
  </si>
  <si>
    <t>2023/24</t>
  </si>
  <si>
    <t>2024/25</t>
  </si>
  <si>
    <t>2025/26</t>
  </si>
  <si>
    <t>Assumptions</t>
  </si>
  <si>
    <t>5 minute settlement</t>
  </si>
  <si>
    <t>IT cloud solutions</t>
  </si>
  <si>
    <t>Solar enablement</t>
  </si>
  <si>
    <t>2018/19</t>
  </si>
  <si>
    <t>Source</t>
  </si>
  <si>
    <t>The step change will have no affect on capital expenditure</t>
  </si>
  <si>
    <t>Effect on opex and capex</t>
  </si>
  <si>
    <r>
      <t>2021</t>
    </r>
    <r>
      <rPr>
        <b/>
        <sz val="10"/>
        <color theme="1"/>
        <rFont val="Verdana"/>
        <family val="2"/>
      </rPr>
      <t>−</t>
    </r>
    <r>
      <rPr>
        <b/>
        <sz val="10"/>
        <color theme="1"/>
        <rFont val="Calibri"/>
        <family val="2"/>
        <scheme val="minor"/>
      </rPr>
      <t>2026</t>
    </r>
  </si>
  <si>
    <t>The identified need</t>
  </si>
  <si>
    <t>The step change will result in an increase in IT-related operating expenditure incremental to the base year, increasing total operating expenditure</t>
  </si>
  <si>
    <t>The step change is in addition to the capital expenditure related to 5-minute settlement</t>
  </si>
  <si>
    <t>The step change will result in an increase in IT and corporate services operating expenditure incremental to the base year, increasing total operating expenditure.</t>
  </si>
  <si>
    <t>Base year</t>
  </si>
  <si>
    <t>Input</t>
  </si>
  <si>
    <t>Summary</t>
  </si>
  <si>
    <t>Year</t>
  </si>
  <si>
    <t>CitiPower proportion of costs</t>
  </si>
  <si>
    <t>Powercor proportion of costs</t>
  </si>
  <si>
    <t>With real escalation</t>
  </si>
  <si>
    <t>CP_wtd_ave_price</t>
  </si>
  <si>
    <t>Ranking</t>
  </si>
  <si>
    <t>Total step changes</t>
  </si>
  <si>
    <t>Code</t>
  </si>
  <si>
    <t>Sheet Name</t>
  </si>
  <si>
    <t>Step change name</t>
  </si>
  <si>
    <t>Number of step changes</t>
  </si>
  <si>
    <t>Recurrent in nature, starting 2021/22</t>
  </si>
  <si>
    <t>CitiPower Summary</t>
  </si>
  <si>
    <t>Real price change</t>
  </si>
  <si>
    <t>CitiPower Cumulative price change</t>
  </si>
  <si>
    <t>The step change will result in an efficient trade-off between operating expenditure and capital expenditure, with a reduction in IT infrastructure capital expenditure.</t>
  </si>
  <si>
    <t>AER draft decision</t>
  </si>
  <si>
    <t>Price change</t>
  </si>
  <si>
    <t>Labour (Average of DAE and BIS Oxford)</t>
  </si>
  <si>
    <t>Non Labour</t>
  </si>
  <si>
    <t>Weightings</t>
  </si>
  <si>
    <t>Labour</t>
  </si>
  <si>
    <t>Annual</t>
  </si>
  <si>
    <t>Allocation</t>
  </si>
  <si>
    <t>Allocation based on customer numbers</t>
  </si>
  <si>
    <t>CitiPower % share of VPN</t>
  </si>
  <si>
    <t>Powercor % share of VPN</t>
  </si>
  <si>
    <t>Conversion from nominal to $ June 2021</t>
  </si>
  <si>
    <t>Cost ($2019)</t>
  </si>
  <si>
    <t>Tap cost</t>
  </si>
  <si>
    <t>Number of transformers tapped</t>
  </si>
  <si>
    <t>Current non compliance (2019 customer numbers)</t>
  </si>
  <si>
    <t xml:space="preserve">Greater that 1A export not conigured </t>
  </si>
  <si>
    <t xml:space="preserve">kW export greater than registered </t>
  </si>
  <si>
    <t>kW export greater than inverster size for 81+ summer days</t>
  </si>
  <si>
    <t>Solar customer numbers (2019)</t>
  </si>
  <si>
    <t>PAL</t>
  </si>
  <si>
    <t>CP</t>
  </si>
  <si>
    <t>Subtotal customer numbers</t>
  </si>
  <si>
    <t>Non-compliant</t>
  </si>
  <si>
    <t>Non-compliant %</t>
  </si>
  <si>
    <t>Total non-compliance VPN</t>
  </si>
  <si>
    <t>Subtotal</t>
  </si>
  <si>
    <t>Compliance and Monitoring - UE ($ 2019)</t>
  </si>
  <si>
    <t>FTE cost pa (inc on-costs and overheads)</t>
  </si>
  <si>
    <t>FTE per hr</t>
  </si>
  <si>
    <t>Forecast non-compliance</t>
  </si>
  <si>
    <t>Non-compliance</t>
  </si>
  <si>
    <t>FTEs</t>
  </si>
  <si>
    <t>Implementation FTEs</t>
  </si>
  <si>
    <t>Maintenance FTEs</t>
  </si>
  <si>
    <t>Compliance opex</t>
  </si>
  <si>
    <t xml:space="preserve">Implementation </t>
  </si>
  <si>
    <t>Maintenance</t>
  </si>
  <si>
    <t>Adressing non-compliances</t>
  </si>
  <si>
    <t>Total compliance opex</t>
  </si>
  <si>
    <t>Tapping opex</t>
  </si>
  <si>
    <t>Total opex</t>
  </si>
  <si>
    <t>PAL_wtd_ave_price</t>
  </si>
  <si>
    <t>VPN &amp; UE</t>
  </si>
  <si>
    <t>Security of Critical Infrastructure</t>
  </si>
  <si>
    <t>Draft determination</t>
  </si>
  <si>
    <t>RRP change</t>
  </si>
  <si>
    <t>$k 2020/21</t>
  </si>
  <si>
    <t>hbn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</si>
</sst>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43" formatCode="_-* #,##0.00_-;\-* #,##0.00_-;_-* &quot;-&quot;??_-;_-@_-"/>
    <numFmt numFmtId="164" formatCode="0.0000"/>
    <numFmt numFmtId="165" formatCode="#,##0;[Red]\(#,##0\);&quot;-&quot;"/>
    <numFmt numFmtId="166" formatCode="#,##0;\(#,##0\);&quot;-&quot;"/>
    <numFmt numFmtId="167" formatCode="0.0%"/>
    <numFmt numFmtId="168" formatCode="#,##0.0000000;\(#,##0.0000000\);&quot;-&quot;"/>
    <numFmt numFmtId="169" formatCode="0.000"/>
    <numFmt numFmtId="170" formatCode="#,##0.000000;\(#,##0.000000\);&quot;-&quot;"/>
    <numFmt numFmtId="171" formatCode="_-* #,##0_-;\-* #,##0_-;_-* &quot;-&quot;??_-;_-@_-"/>
    <numFmt numFmtId="172" formatCode="&quot;$k $&quot;#"/>
    <numFmt numFmtId="173" formatCode="&quot;$&quot;#,##0;[Red]\-&quot;$&quot;#,##0;\ &quot;-&quot;"/>
    <numFmt numFmtId="174" formatCode="0.0"/>
    <numFmt numFmtId="175" formatCode="&quot;$&quot;#"/>
    <numFmt numFmtId="176" formatCode="#,##0;[Red]\-#,##0;\ &quot;-&quot;"/>
    <numFmt numFmtId="177" formatCode="#,##0.0"/>
    <numFmt numFmtId="178" formatCode="_-* #,##0.0_-;\-* #,##0.0_-;_-* &quot;-&quot;??_-;_-@_-"/>
    <numFmt numFmtId="179" formatCode="&quot;$k &quot;#"/>
    <numFmt numFmtId="180" formatCode="&quot;$&quot;#.0"/>
  </numFmts>
  <fonts count="35" x14ac:knownFonts="1">
    <font>
      <sz val="10"/>
      <color theme="1"/>
      <name val="Verdana"/>
      <family val="2"/>
    </font>
    <font>
      <sz val="10"/>
      <color theme="1"/>
      <name val="Verdana"/>
      <family val="2"/>
    </font>
    <font>
      <b/>
      <sz val="10"/>
      <color theme="1"/>
      <name val="Calibri"/>
      <family val="2"/>
    </font>
    <font>
      <sz val="10"/>
      <color theme="1"/>
      <name val="Calibri"/>
      <family val="2"/>
      <scheme val="minor"/>
    </font>
    <font>
      <b/>
      <sz val="10"/>
      <color theme="1"/>
      <name val="Calibri"/>
      <family val="2"/>
      <scheme val="minor"/>
    </font>
    <font>
      <b/>
      <sz val="16"/>
      <color theme="1"/>
      <name val="Calibri"/>
      <family val="2"/>
      <scheme val="minor"/>
    </font>
    <font>
      <sz val="10"/>
      <name val="Calibri"/>
      <family val="2"/>
      <scheme val="minor"/>
    </font>
    <font>
      <i/>
      <sz val="9"/>
      <color theme="1"/>
      <name val="Calibri"/>
      <family val="2"/>
      <scheme val="minor"/>
    </font>
    <font>
      <i/>
      <sz val="14"/>
      <name val="Calibri"/>
      <family val="2"/>
    </font>
    <font>
      <sz val="10"/>
      <color theme="1"/>
      <name val="Calibri"/>
      <family val="2"/>
    </font>
    <font>
      <sz val="10"/>
      <color rgb="FFFF0000"/>
      <name val="Calibri"/>
      <family val="2"/>
      <scheme val="minor"/>
    </font>
    <font>
      <sz val="10"/>
      <color theme="1"/>
      <name val="Wingdings 2"/>
      <family val="1"/>
      <charset val="2"/>
    </font>
    <font>
      <b/>
      <sz val="10"/>
      <name val="Calibri"/>
      <family val="2"/>
      <scheme val="minor"/>
    </font>
    <font>
      <b/>
      <sz val="16"/>
      <color indexed="9"/>
      <name val="Arial"/>
      <family val="2"/>
    </font>
    <font>
      <b/>
      <sz val="12"/>
      <color theme="0"/>
      <name val="Arial"/>
      <family val="2"/>
    </font>
    <font>
      <i/>
      <sz val="9"/>
      <name val="Calibri"/>
      <family val="2"/>
      <scheme val="minor"/>
    </font>
    <font>
      <b/>
      <i/>
      <sz val="9"/>
      <color theme="1"/>
      <name val="Calibri"/>
      <family val="2"/>
      <scheme val="minor"/>
    </font>
    <font>
      <i/>
      <sz val="10"/>
      <color theme="1"/>
      <name val="Calibri"/>
      <family val="2"/>
      <scheme val="minor"/>
    </font>
    <font>
      <i/>
      <sz val="10"/>
      <color theme="1" tint="0.499984740745262"/>
      <name val="Calibri"/>
      <family val="2"/>
      <scheme val="minor"/>
    </font>
    <font>
      <sz val="10"/>
      <color rgb="FF0000FF"/>
      <name val="Calibri"/>
      <family val="2"/>
      <scheme val="minor"/>
    </font>
    <font>
      <b/>
      <sz val="10"/>
      <color rgb="FFFF0000"/>
      <name val="Calibri"/>
      <family val="2"/>
      <scheme val="minor"/>
    </font>
    <font>
      <b/>
      <sz val="10"/>
      <color theme="1"/>
      <name val="Verdana"/>
      <family val="2"/>
    </font>
    <font>
      <b/>
      <i/>
      <sz val="10"/>
      <color theme="1"/>
      <name val="Calibri"/>
      <family val="2"/>
      <scheme val="minor"/>
    </font>
    <font>
      <b/>
      <sz val="10"/>
      <color rgb="FF000000"/>
      <name val="Calibri"/>
      <family val="2"/>
    </font>
    <font>
      <sz val="10"/>
      <color rgb="FF000000"/>
      <name val="Calibri"/>
      <family val="2"/>
    </font>
    <font>
      <sz val="10"/>
      <color theme="3"/>
      <name val="Arial"/>
      <family val="2"/>
    </font>
    <font>
      <sz val="10"/>
      <color theme="3" tint="-0.499984740745262"/>
      <name val="Calibri"/>
      <family val="2"/>
      <scheme val="minor"/>
    </font>
    <font>
      <sz val="10"/>
      <color theme="1" tint="0.499984740745262"/>
      <name val="Calibri"/>
      <family val="2"/>
      <scheme val="minor"/>
    </font>
    <font>
      <b/>
      <sz val="10"/>
      <color theme="1" tint="0.499984740745262"/>
      <name val="Calibri"/>
      <family val="2"/>
    </font>
    <font>
      <sz val="9"/>
      <color theme="1"/>
      <name val="Calibri"/>
      <family val="2"/>
      <scheme val="minor"/>
    </font>
    <font>
      <b/>
      <sz val="9"/>
      <color theme="1"/>
      <name val="Calibri"/>
      <family val="2"/>
      <scheme val="minor"/>
    </font>
    <font>
      <sz val="8"/>
      <color theme="1" tint="0.499984740745262"/>
      <name val="Calibri"/>
      <family val="2"/>
      <scheme val="minor"/>
    </font>
    <font>
      <sz val="10"/>
      <color rgb="FF00B050"/>
      <name val="Calibri"/>
      <family val="2"/>
      <scheme val="minor"/>
    </font>
    <font>
      <b/>
      <sz val="10"/>
      <color rgb="FF00B050"/>
      <name val="Calibri"/>
      <family val="2"/>
      <scheme val="minor"/>
    </font>
    <font>
      <i/>
      <sz val="10"/>
      <name val="Calibri"/>
      <family val="2"/>
      <scheme val="minor"/>
    </font>
  </fonts>
  <fills count="10">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0"/>
        <bgColor indexed="64"/>
      </patternFill>
    </fill>
    <fill>
      <patternFill patternType="solid">
        <fgColor theme="1"/>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00FF00"/>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top style="medium">
        <color auto="1"/>
      </top>
      <bottom style="medium">
        <color auto="1"/>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hair">
        <color auto="1"/>
      </left>
      <right style="hair">
        <color auto="1"/>
      </right>
      <top style="hair">
        <color auto="1"/>
      </top>
      <bottom style="hair">
        <color auto="1"/>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hair">
        <color auto="1"/>
      </left>
      <right style="hair">
        <color auto="1"/>
      </right>
      <top style="hair">
        <color auto="1"/>
      </top>
      <bottom/>
      <diagonal/>
    </border>
    <border>
      <left style="hair">
        <color indexed="64"/>
      </left>
      <right style="hair">
        <color indexed="64"/>
      </right>
      <top/>
      <bottom style="hair">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3" fillId="6" borderId="0">
      <alignment horizontal="left" vertical="center"/>
      <protection locked="0"/>
    </xf>
    <xf numFmtId="0" fontId="14" fillId="5" borderId="3">
      <alignment vertical="center"/>
    </xf>
    <xf numFmtId="0" fontId="25" fillId="3" borderId="4" applyNumberFormat="0" applyAlignment="0">
      <alignment horizontal="right"/>
      <protection locked="0"/>
    </xf>
  </cellStyleXfs>
  <cellXfs count="156">
    <xf numFmtId="0" fontId="0" fillId="0" borderId="0" xfId="0"/>
    <xf numFmtId="0" fontId="3" fillId="0" borderId="0" xfId="0" applyFont="1"/>
    <xf numFmtId="0" fontId="4" fillId="2" borderId="1" xfId="0" applyFont="1" applyFill="1" applyBorder="1"/>
    <xf numFmtId="0" fontId="5" fillId="0" borderId="0" xfId="0" applyFont="1"/>
    <xf numFmtId="0" fontId="4" fillId="0" borderId="0" xfId="0" applyFont="1"/>
    <xf numFmtId="6" fontId="7" fillId="0" borderId="0" xfId="0" applyNumberFormat="1" applyFont="1" applyAlignment="1">
      <alignment horizontal="right"/>
    </xf>
    <xf numFmtId="0" fontId="4" fillId="2" borderId="1" xfId="0" applyFont="1" applyFill="1" applyBorder="1" applyAlignment="1">
      <alignment horizontal="right"/>
    </xf>
    <xf numFmtId="0" fontId="8" fillId="0" borderId="0" xfId="0" applyFont="1"/>
    <xf numFmtId="166" fontId="3" fillId="0" borderId="0" xfId="0" applyNumberFormat="1" applyFont="1"/>
    <xf numFmtId="166" fontId="4" fillId="0" borderId="0" xfId="0" applyNumberFormat="1" applyFont="1"/>
    <xf numFmtId="0" fontId="4" fillId="0" borderId="0" xfId="0" applyFont="1" applyFill="1" applyBorder="1"/>
    <xf numFmtId="0" fontId="4" fillId="0" borderId="0" xfId="0" applyFont="1" applyFill="1" applyBorder="1" applyAlignment="1">
      <alignment horizontal="right"/>
    </xf>
    <xf numFmtId="0" fontId="3" fillId="0" borderId="0" xfId="0" applyFont="1" applyFill="1"/>
    <xf numFmtId="165" fontId="6" fillId="0" borderId="0" xfId="0" applyNumberFormat="1" applyFont="1" applyFill="1"/>
    <xf numFmtId="10" fontId="3" fillId="0" borderId="0" xfId="2" applyNumberFormat="1" applyFont="1" applyFill="1"/>
    <xf numFmtId="168" fontId="3" fillId="0" borderId="0" xfId="0" applyNumberFormat="1" applyFont="1"/>
    <xf numFmtId="0" fontId="2" fillId="0" borderId="0" xfId="0" applyFont="1" applyFill="1" applyBorder="1"/>
    <xf numFmtId="0" fontId="9" fillId="0" borderId="0" xfId="0" applyFont="1" applyFill="1" applyBorder="1"/>
    <xf numFmtId="169" fontId="3" fillId="0" borderId="0" xfId="0" applyNumberFormat="1" applyFont="1" applyFill="1" applyBorder="1"/>
    <xf numFmtId="0" fontId="10" fillId="0" borderId="0" xfId="0" applyFont="1"/>
    <xf numFmtId="166" fontId="3" fillId="0" borderId="2" xfId="0" applyNumberFormat="1" applyFont="1" applyBorder="1"/>
    <xf numFmtId="166" fontId="4" fillId="0" borderId="2" xfId="0" applyNumberFormat="1" applyFont="1" applyBorder="1"/>
    <xf numFmtId="170" fontId="3" fillId="0" borderId="0" xfId="0" applyNumberFormat="1" applyFont="1"/>
    <xf numFmtId="0" fontId="11" fillId="0" borderId="0" xfId="0" applyFont="1" applyAlignment="1">
      <alignment horizontal="center" vertical="center"/>
    </xf>
    <xf numFmtId="171" fontId="3" fillId="0" borderId="0" xfId="1" applyNumberFormat="1" applyFont="1"/>
    <xf numFmtId="0" fontId="3" fillId="4" borderId="0" xfId="0" applyFont="1" applyFill="1"/>
    <xf numFmtId="166" fontId="3" fillId="4" borderId="0" xfId="0" applyNumberFormat="1" applyFont="1" applyFill="1"/>
    <xf numFmtId="10" fontId="3" fillId="4" borderId="0" xfId="2" applyNumberFormat="1" applyFont="1" applyFill="1"/>
    <xf numFmtId="0" fontId="18" fillId="0" borderId="0" xfId="0" applyFont="1"/>
    <xf numFmtId="0" fontId="3" fillId="0" borderId="0" xfId="0" applyFont="1" applyAlignment="1">
      <alignment wrapText="1"/>
    </xf>
    <xf numFmtId="0" fontId="4" fillId="0" borderId="0" xfId="0" applyFont="1" applyAlignment="1">
      <alignment horizontal="right"/>
    </xf>
    <xf numFmtId="165" fontId="12" fillId="0" borderId="0" xfId="0" applyNumberFormat="1" applyFont="1" applyFill="1"/>
    <xf numFmtId="0" fontId="20" fillId="0" borderId="0" xfId="0" applyFont="1"/>
    <xf numFmtId="43" fontId="3" fillId="0" borderId="0" xfId="0" applyNumberFormat="1" applyFont="1"/>
    <xf numFmtId="0" fontId="17" fillId="0" borderId="0" xfId="0" applyFont="1"/>
    <xf numFmtId="0" fontId="20" fillId="0" borderId="0" xfId="0" applyFont="1"/>
    <xf numFmtId="0" fontId="6" fillId="0" borderId="0" xfId="0" applyFont="1"/>
    <xf numFmtId="165" fontId="6" fillId="4" borderId="0" xfId="0" applyNumberFormat="1" applyFont="1" applyFill="1"/>
    <xf numFmtId="0" fontId="23" fillId="0" borderId="0" xfId="0" applyFont="1" applyAlignment="1">
      <alignment vertical="center"/>
    </xf>
    <xf numFmtId="2" fontId="3" fillId="0" borderId="0" xfId="0" applyNumberFormat="1" applyFont="1"/>
    <xf numFmtId="174" fontId="3" fillId="0" borderId="0" xfId="0" applyNumberFormat="1" applyFont="1"/>
    <xf numFmtId="0" fontId="3" fillId="0" borderId="0" xfId="0" applyFont="1" applyAlignment="1">
      <alignment horizontal="left" wrapText="1"/>
    </xf>
    <xf numFmtId="9" fontId="3" fillId="0" borderId="0" xfId="2" applyFont="1"/>
    <xf numFmtId="0" fontId="3" fillId="0" borderId="0" xfId="0" applyFont="1" applyAlignment="1">
      <alignment horizontal="left"/>
    </xf>
    <xf numFmtId="0" fontId="24" fillId="0" borderId="0" xfId="0" applyFont="1" applyAlignment="1">
      <alignment horizontal="left" vertical="center"/>
    </xf>
    <xf numFmtId="10" fontId="19" fillId="3" borderId="0" xfId="5" applyNumberFormat="1" applyFont="1" applyFill="1" applyBorder="1" applyAlignment="1">
      <alignment horizontal="left"/>
      <protection locked="0"/>
    </xf>
    <xf numFmtId="0" fontId="3" fillId="0" borderId="0" xfId="0" applyFont="1" applyAlignment="1">
      <alignment horizontal="center"/>
    </xf>
    <xf numFmtId="0" fontId="3" fillId="0" borderId="0" xfId="0" applyFont="1" applyAlignment="1">
      <alignment horizontal="left" wrapText="1"/>
    </xf>
    <xf numFmtId="0" fontId="27" fillId="0" borderId="0" xfId="0" applyFont="1"/>
    <xf numFmtId="0" fontId="2" fillId="2" borderId="1" xfId="0" applyFont="1" applyFill="1" applyBorder="1"/>
    <xf numFmtId="173" fontId="4" fillId="0" borderId="6" xfId="0" applyNumberFormat="1" applyFont="1" applyBorder="1"/>
    <xf numFmtId="176" fontId="4" fillId="0" borderId="6" xfId="0" applyNumberFormat="1" applyFont="1" applyBorder="1"/>
    <xf numFmtId="176" fontId="3" fillId="0" borderId="7" xfId="0" applyNumberFormat="1" applyFont="1" applyBorder="1"/>
    <xf numFmtId="171" fontId="3" fillId="0" borderId="0" xfId="0" applyNumberFormat="1" applyFont="1"/>
    <xf numFmtId="176" fontId="4" fillId="0" borderId="7" xfId="0" applyNumberFormat="1" applyFont="1" applyBorder="1"/>
    <xf numFmtId="0" fontId="28" fillId="0" borderId="0" xfId="0" applyFont="1" applyFill="1" applyBorder="1"/>
    <xf numFmtId="0" fontId="4" fillId="2" borderId="1" xfId="0" applyFont="1" applyFill="1" applyBorder="1" applyAlignment="1">
      <alignment horizontal="left"/>
    </xf>
    <xf numFmtId="173" fontId="16" fillId="0" borderId="6" xfId="0" applyNumberFormat="1" applyFont="1" applyBorder="1" applyAlignment="1">
      <alignment horizontal="left"/>
    </xf>
    <xf numFmtId="0" fontId="4" fillId="0" borderId="0" xfId="0" applyFont="1" applyFill="1" applyBorder="1" applyAlignment="1">
      <alignment horizontal="left"/>
    </xf>
    <xf numFmtId="173" fontId="17" fillId="0" borderId="0" xfId="0" applyNumberFormat="1" applyFont="1" applyBorder="1" applyAlignment="1">
      <alignment horizontal="left"/>
    </xf>
    <xf numFmtId="173" fontId="4" fillId="0" borderId="6" xfId="0" applyNumberFormat="1" applyFont="1" applyBorder="1" applyAlignment="1">
      <alignment horizontal="left"/>
    </xf>
    <xf numFmtId="0" fontId="29" fillId="0" borderId="0" xfId="0" applyFont="1" applyAlignment="1">
      <alignment horizontal="left"/>
    </xf>
    <xf numFmtId="173" fontId="7" fillId="0" borderId="0" xfId="0" applyNumberFormat="1" applyFont="1" applyBorder="1" applyAlignment="1">
      <alignment horizontal="left"/>
    </xf>
    <xf numFmtId="0" fontId="30" fillId="0" borderId="0" xfId="0" applyFont="1" applyFill="1" applyBorder="1" applyAlignment="1">
      <alignment horizontal="left"/>
    </xf>
    <xf numFmtId="0" fontId="31" fillId="0" borderId="0" xfId="0" applyFont="1"/>
    <xf numFmtId="0" fontId="27" fillId="0" borderId="0" xfId="0" applyFont="1" applyAlignment="1">
      <alignment horizontal="right"/>
    </xf>
    <xf numFmtId="0" fontId="2" fillId="2" borderId="1" xfId="0" applyFont="1" applyFill="1" applyBorder="1" applyAlignment="1">
      <alignment horizontal="center"/>
    </xf>
    <xf numFmtId="0" fontId="0" fillId="0" borderId="0" xfId="0" applyAlignment="1">
      <alignment horizontal="center"/>
    </xf>
    <xf numFmtId="43" fontId="4" fillId="0" borderId="0" xfId="0" applyNumberFormat="1" applyFont="1"/>
    <xf numFmtId="0" fontId="19" fillId="3" borderId="0" xfId="0" applyFont="1" applyFill="1" applyAlignment="1">
      <alignment horizontal="right"/>
    </xf>
    <xf numFmtId="9" fontId="19" fillId="3" borderId="0" xfId="2" applyFont="1" applyFill="1" applyAlignment="1">
      <alignment horizontal="right"/>
    </xf>
    <xf numFmtId="0" fontId="32" fillId="0" borderId="0" xfId="0" applyFont="1" applyAlignment="1">
      <alignment horizontal="left"/>
    </xf>
    <xf numFmtId="0" fontId="3" fillId="7" borderId="0" xfId="0" applyFont="1" applyFill="1" applyAlignment="1">
      <alignment horizontal="right"/>
    </xf>
    <xf numFmtId="0" fontId="33" fillId="0" borderId="0" xfId="0" applyFont="1"/>
    <xf numFmtId="0" fontId="18" fillId="3" borderId="0" xfId="0" applyFont="1" applyFill="1"/>
    <xf numFmtId="0" fontId="18" fillId="0" borderId="0" xfId="0" applyFont="1" applyAlignment="1">
      <alignment horizontal="center"/>
    </xf>
    <xf numFmtId="166" fontId="18" fillId="0" borderId="0" xfId="0" applyNumberFormat="1" applyFont="1"/>
    <xf numFmtId="10" fontId="3" fillId="3" borderId="0" xfId="2" applyNumberFormat="1" applyFont="1" applyFill="1"/>
    <xf numFmtId="0" fontId="4" fillId="4" borderId="0" xfId="0" applyFont="1" applyFill="1"/>
    <xf numFmtId="9" fontId="3" fillId="0" borderId="0" xfId="2" applyFont="1" applyFill="1"/>
    <xf numFmtId="10" fontId="3" fillId="0" borderId="9" xfId="2" applyNumberFormat="1" applyFont="1" applyFill="1" applyBorder="1"/>
    <xf numFmtId="169" fontId="19" fillId="3" borderId="0" xfId="0" applyNumberFormat="1" applyFont="1" applyFill="1"/>
    <xf numFmtId="169" fontId="3" fillId="0" borderId="5" xfId="0" applyNumberFormat="1" applyFont="1" applyBorder="1"/>
    <xf numFmtId="0" fontId="3" fillId="0" borderId="2" xfId="0" applyFont="1" applyBorder="1"/>
    <xf numFmtId="0" fontId="31" fillId="0" borderId="2" xfId="0" applyFont="1" applyBorder="1"/>
    <xf numFmtId="173" fontId="17" fillId="0" borderId="2" xfId="0" applyNumberFormat="1" applyFont="1" applyBorder="1" applyAlignment="1">
      <alignment horizontal="left"/>
    </xf>
    <xf numFmtId="0" fontId="3" fillId="0" borderId="2" xfId="0" applyFont="1" applyBorder="1" applyAlignment="1">
      <alignment horizontal="left"/>
    </xf>
    <xf numFmtId="43" fontId="3" fillId="0" borderId="2" xfId="0" applyNumberFormat="1" applyFont="1" applyBorder="1"/>
    <xf numFmtId="165" fontId="6" fillId="4" borderId="2" xfId="0" applyNumberFormat="1" applyFont="1" applyFill="1" applyBorder="1"/>
    <xf numFmtId="0" fontId="4" fillId="2" borderId="0" xfId="0" applyFont="1" applyFill="1" applyBorder="1"/>
    <xf numFmtId="0" fontId="4" fillId="2" borderId="0" xfId="0" applyFont="1" applyFill="1" applyBorder="1" applyAlignment="1">
      <alignment horizontal="left"/>
    </xf>
    <xf numFmtId="0" fontId="4" fillId="2" borderId="0" xfId="0" applyFont="1" applyFill="1" applyBorder="1" applyAlignment="1">
      <alignment horizontal="right"/>
    </xf>
    <xf numFmtId="165" fontId="6" fillId="0" borderId="0" xfId="0" applyNumberFormat="1" applyFont="1"/>
    <xf numFmtId="172" fontId="15" fillId="0" borderId="0" xfId="0" applyNumberFormat="1" applyFont="1" applyAlignment="1">
      <alignment horizontal="left"/>
    </xf>
    <xf numFmtId="0" fontId="22" fillId="0" borderId="0" xfId="0" applyFont="1"/>
    <xf numFmtId="175" fontId="15" fillId="0" borderId="0" xfId="0" applyNumberFormat="1" applyFont="1" applyAlignment="1">
      <alignment horizontal="left"/>
    </xf>
    <xf numFmtId="171" fontId="19" fillId="3" borderId="5" xfId="1" applyNumberFormat="1" applyFont="1" applyFill="1" applyBorder="1"/>
    <xf numFmtId="0" fontId="4" fillId="0" borderId="8" xfId="0" applyFont="1" applyBorder="1" applyAlignment="1">
      <alignment horizontal="right"/>
    </xf>
    <xf numFmtId="0" fontId="19" fillId="3" borderId="10" xfId="0" applyFont="1" applyFill="1" applyBorder="1"/>
    <xf numFmtId="171" fontId="3" fillId="0" borderId="5" xfId="1" applyNumberFormat="1" applyFont="1" applyBorder="1"/>
    <xf numFmtId="0" fontId="4" fillId="0" borderId="8" xfId="0" applyFont="1" applyBorder="1"/>
    <xf numFmtId="9" fontId="3" fillId="0" borderId="0" xfId="0" applyNumberFormat="1" applyFont="1"/>
    <xf numFmtId="1" fontId="4" fillId="0" borderId="8" xfId="0" applyNumberFormat="1" applyFont="1" applyBorder="1"/>
    <xf numFmtId="171" fontId="3" fillId="0" borderId="0" xfId="1" applyNumberFormat="1" applyFont="1" applyBorder="1"/>
    <xf numFmtId="167" fontId="12" fillId="0" borderId="0" xfId="1" applyNumberFormat="1" applyFont="1" applyFill="1" applyBorder="1"/>
    <xf numFmtId="9" fontId="19" fillId="3" borderId="5" xfId="1" applyNumberFormat="1" applyFont="1" applyFill="1" applyBorder="1"/>
    <xf numFmtId="6" fontId="4" fillId="0" borderId="0" xfId="0" quotePrefix="1" applyNumberFormat="1" applyFont="1" applyAlignment="1">
      <alignment horizontal="right"/>
    </xf>
    <xf numFmtId="3" fontId="19" fillId="3" borderId="5" xfId="0" applyNumberFormat="1" applyFont="1" applyFill="1" applyBorder="1"/>
    <xf numFmtId="0" fontId="19" fillId="3" borderId="5" xfId="0" applyFont="1" applyFill="1" applyBorder="1"/>
    <xf numFmtId="171" fontId="3" fillId="0" borderId="0" xfId="1" applyNumberFormat="1" applyFont="1" applyFill="1" applyBorder="1" applyAlignment="1">
      <alignment horizontal="right"/>
    </xf>
    <xf numFmtId="43" fontId="19" fillId="3" borderId="5" xfId="1" applyFont="1" applyFill="1" applyBorder="1"/>
    <xf numFmtId="0" fontId="22" fillId="0" borderId="8" xfId="0" applyFont="1" applyBorder="1"/>
    <xf numFmtId="0" fontId="3" fillId="0" borderId="8" xfId="0" applyFont="1" applyBorder="1"/>
    <xf numFmtId="3" fontId="3" fillId="0" borderId="0" xfId="0" applyNumberFormat="1" applyFont="1"/>
    <xf numFmtId="3" fontId="3" fillId="0" borderId="0" xfId="0" applyNumberFormat="1" applyFont="1" applyAlignment="1">
      <alignment horizontal="right"/>
    </xf>
    <xf numFmtId="3" fontId="3" fillId="0" borderId="8" xfId="0" applyNumberFormat="1" applyFont="1" applyBorder="1"/>
    <xf numFmtId="3" fontId="4" fillId="0" borderId="0" xfId="0" applyNumberFormat="1" applyFont="1"/>
    <xf numFmtId="3" fontId="4" fillId="0" borderId="7" xfId="0" applyNumberFormat="1" applyFont="1" applyBorder="1"/>
    <xf numFmtId="177" fontId="3" fillId="0" borderId="0" xfId="0" applyNumberFormat="1" applyFont="1"/>
    <xf numFmtId="178" fontId="3" fillId="0" borderId="0" xfId="0" applyNumberFormat="1" applyFont="1"/>
    <xf numFmtId="176" fontId="4" fillId="0" borderId="0" xfId="0" applyNumberFormat="1" applyFont="1"/>
    <xf numFmtId="172" fontId="15" fillId="3" borderId="0" xfId="0" applyNumberFormat="1" applyFont="1" applyFill="1" applyAlignment="1">
      <alignment horizontal="left"/>
    </xf>
    <xf numFmtId="173" fontId="3" fillId="0" borderId="8" xfId="0" applyNumberFormat="1" applyFont="1" applyBorder="1"/>
    <xf numFmtId="166" fontId="26" fillId="8" borderId="0" xfId="0" applyNumberFormat="1" applyFont="1" applyFill="1"/>
    <xf numFmtId="173" fontId="17" fillId="0" borderId="0" xfId="0" applyNumberFormat="1" applyFont="1" applyAlignment="1">
      <alignment horizontal="left"/>
    </xf>
    <xf numFmtId="165" fontId="12" fillId="0" borderId="0" xfId="0" applyNumberFormat="1" applyFont="1"/>
    <xf numFmtId="172" fontId="7" fillId="0" borderId="8" xfId="0" applyNumberFormat="1" applyFont="1" applyBorder="1" applyAlignment="1">
      <alignment horizontal="left"/>
    </xf>
    <xf numFmtId="10" fontId="3" fillId="8" borderId="0" xfId="2" applyNumberFormat="1" applyFont="1" applyFill="1"/>
    <xf numFmtId="166" fontId="26" fillId="9" borderId="0" xfId="0" applyNumberFormat="1" applyFont="1" applyFill="1"/>
    <xf numFmtId="165" fontId="6" fillId="9" borderId="0" xfId="0" applyNumberFormat="1" applyFont="1" applyFill="1"/>
    <xf numFmtId="164" fontId="19" fillId="9" borderId="0" xfId="5" applyNumberFormat="1" applyFont="1" applyFill="1" applyBorder="1" applyAlignment="1">
      <alignment horizontal="center"/>
      <protection locked="0"/>
    </xf>
    <xf numFmtId="9" fontId="19" fillId="9" borderId="0" xfId="2" applyFont="1" applyFill="1" applyAlignment="1">
      <alignment horizontal="right"/>
    </xf>
    <xf numFmtId="10" fontId="19" fillId="9" borderId="0" xfId="2" applyNumberFormat="1" applyFont="1" applyFill="1"/>
    <xf numFmtId="171" fontId="19" fillId="8" borderId="5" xfId="1" applyNumberFormat="1" applyFont="1" applyFill="1" applyBorder="1"/>
    <xf numFmtId="0" fontId="4" fillId="5" borderId="0" xfId="0" applyFont="1" applyFill="1"/>
    <xf numFmtId="0" fontId="3" fillId="5" borderId="0" xfId="0" applyFont="1" applyFill="1"/>
    <xf numFmtId="179" fontId="19" fillId="5" borderId="0" xfId="0" applyNumberFormat="1" applyFont="1" applyFill="1" applyAlignment="1">
      <alignment horizontal="left"/>
    </xf>
    <xf numFmtId="0" fontId="6" fillId="5" borderId="0" xfId="0" applyFont="1" applyFill="1"/>
    <xf numFmtId="166" fontId="19" fillId="5" borderId="0" xfId="0" applyNumberFormat="1" applyFont="1" applyFill="1"/>
    <xf numFmtId="0" fontId="3" fillId="5" borderId="0" xfId="0" applyFont="1" applyFill="1" applyAlignment="1">
      <alignment horizontal="left"/>
    </xf>
    <xf numFmtId="0" fontId="0" fillId="5" borderId="0" xfId="0" applyFill="1"/>
    <xf numFmtId="165" fontId="6" fillId="5" borderId="0" xfId="0" applyNumberFormat="1" applyFont="1" applyFill="1"/>
    <xf numFmtId="9" fontId="19" fillId="5" borderId="0" xfId="0" applyNumberFormat="1" applyFont="1" applyFill="1"/>
    <xf numFmtId="173" fontId="17" fillId="5" borderId="0" xfId="0" applyNumberFormat="1" applyFont="1" applyFill="1" applyAlignment="1">
      <alignment horizontal="left"/>
    </xf>
    <xf numFmtId="43" fontId="3" fillId="5" borderId="0" xfId="0" applyNumberFormat="1" applyFont="1" applyFill="1"/>
    <xf numFmtId="0" fontId="0" fillId="5" borderId="0" xfId="0" applyFill="1" applyBorder="1"/>
    <xf numFmtId="0" fontId="3" fillId="5" borderId="0" xfId="0" applyFont="1" applyFill="1" applyBorder="1"/>
    <xf numFmtId="180" fontId="34" fillId="5" borderId="0" xfId="0" applyNumberFormat="1" applyFont="1" applyFill="1" applyBorder="1" applyAlignment="1">
      <alignment horizontal="left"/>
    </xf>
    <xf numFmtId="172" fontId="15" fillId="5" borderId="0" xfId="0" applyNumberFormat="1" applyFont="1" applyFill="1" applyBorder="1" applyAlignment="1">
      <alignment horizontal="left"/>
    </xf>
    <xf numFmtId="165" fontId="6" fillId="5" borderId="0" xfId="0" applyNumberFormat="1" applyFont="1" applyFill="1" applyBorder="1"/>
    <xf numFmtId="173" fontId="4" fillId="5" borderId="0" xfId="0" applyNumberFormat="1" applyFont="1" applyFill="1" applyBorder="1"/>
    <xf numFmtId="173" fontId="3" fillId="5" borderId="0" xfId="0" applyNumberFormat="1" applyFont="1" applyFill="1" applyBorder="1"/>
    <xf numFmtId="173" fontId="22" fillId="5" borderId="0" xfId="0" applyNumberFormat="1" applyFont="1" applyFill="1" applyBorder="1" applyAlignment="1">
      <alignment horizontal="left"/>
    </xf>
    <xf numFmtId="173" fontId="3" fillId="5" borderId="0" xfId="0" applyNumberFormat="1" applyFont="1" applyFill="1" applyBorder="1" applyAlignment="1">
      <alignment horizontal="left"/>
    </xf>
    <xf numFmtId="176" fontId="3" fillId="5" borderId="0" xfId="0" applyNumberFormat="1" applyFont="1" applyFill="1" applyBorder="1"/>
    <xf numFmtId="0" fontId="3" fillId="0" borderId="0" xfId="0" applyFont="1" applyAlignment="1">
      <alignment horizontal="left" wrapText="1"/>
    </xf>
  </cellXfs>
  <cellStyles count="6">
    <cellStyle name="Comma" xfId="1" builtinId="3"/>
    <cellStyle name="dms_1" xfId="4" xr:uid="{00000000-0005-0000-0000-000002000000}"/>
    <cellStyle name="Normal" xfId="0" builtinId="0"/>
    <cellStyle name="Percent" xfId="2" builtinId="5"/>
    <cellStyle name="TableLvl2" xfId="3" xr:uid="{00000000-0005-0000-0000-000009000000}"/>
    <cellStyle name="User_Input_Actual" xfId="5" xr:uid="{00000000-0005-0000-0000-00000A000000}"/>
  </cellStyles>
  <dxfs count="1">
    <dxf>
      <font>
        <b/>
        <i val="0"/>
        <color theme="0"/>
      </font>
      <fill>
        <patternFill>
          <bgColor rgb="FFFF0000"/>
        </patternFill>
      </fill>
    </dxf>
  </dxfs>
  <tableStyles count="0" defaultTableStyle="TableStyleMedium2" defaultPivotStyle="PivotStyleLight16"/>
  <colors>
    <mruColors>
      <color rgb="FF00FF00"/>
      <color rgb="FFFFFFCC"/>
      <color rgb="FFCCFFFF"/>
      <color rgb="FF0000FF"/>
      <color rgb="FF00FFFF"/>
      <color rgb="FFFF99FF"/>
      <color rgb="FFFF33CC"/>
      <color rgb="FFFF66CC"/>
      <color rgb="FFFFCC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85724</xdr:colOff>
      <xdr:row>5</xdr:row>
      <xdr:rowOff>47625</xdr:rowOff>
    </xdr:from>
    <xdr:to>
      <xdr:col>9</xdr:col>
      <xdr:colOff>0</xdr:colOff>
      <xdr:row>8</xdr:row>
      <xdr:rowOff>57150</xdr:rowOff>
    </xdr:to>
    <xdr:sp macro="" textlink="">
      <xdr:nvSpPr>
        <xdr:cNvPr id="3" name="Rectangle 2">
          <a:extLst>
            <a:ext uri="{FF2B5EF4-FFF2-40B4-BE49-F238E27FC236}">
              <a16:creationId xmlns:a16="http://schemas.microsoft.com/office/drawing/2014/main" id="{00000000-0008-0000-0400-000003000000}"/>
            </a:ext>
          </a:extLst>
        </xdr:cNvPr>
        <xdr:cNvSpPr/>
      </xdr:nvSpPr>
      <xdr:spPr>
        <a:xfrm>
          <a:off x="85724" y="2819400"/>
          <a:ext cx="7267575" cy="4953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000">
              <a:solidFill>
                <a:sysClr val="windowText" lastClr="000000"/>
              </a:solidFill>
            </a:rPr>
            <a:t>Starting 1 December 2022, all meters installed from 1 December 2018 will be required to provide 5-minute usage data. This will result in growth in need for data storage and manual meter read exceptions handling.</a:t>
          </a:r>
        </a:p>
        <a:p>
          <a:pPr algn="l"/>
          <a:endParaRPr lang="en-AU" sz="1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127187</xdr:colOff>
      <xdr:row>5</xdr:row>
      <xdr:rowOff>94130</xdr:rowOff>
    </xdr:from>
    <xdr:to>
      <xdr:col>9</xdr:col>
      <xdr:colOff>22412</xdr:colOff>
      <xdr:row>10</xdr:row>
      <xdr:rowOff>32497</xdr:rowOff>
    </xdr:to>
    <xdr:sp macro="" textlink="">
      <xdr:nvSpPr>
        <xdr:cNvPr id="2" name="Rectangle 1">
          <a:extLst>
            <a:ext uri="{FF2B5EF4-FFF2-40B4-BE49-F238E27FC236}">
              <a16:creationId xmlns:a16="http://schemas.microsoft.com/office/drawing/2014/main" id="{00000000-0008-0000-0500-000002000000}"/>
            </a:ext>
          </a:extLst>
        </xdr:cNvPr>
        <xdr:cNvSpPr/>
      </xdr:nvSpPr>
      <xdr:spPr>
        <a:xfrm>
          <a:off x="127187" y="1069042"/>
          <a:ext cx="9599519" cy="72277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000">
              <a:solidFill>
                <a:sysClr val="windowText" lastClr="000000"/>
              </a:solidFill>
            </a:rPr>
            <a:t>The critical infrastructure system and data control requirements are new 'regulatory obligations or requirements' (within the meaning given to that term by the National Electricity Law) associated with the provision of standard control services. Compliance with those requirements is required in order to achieve the operating expenditure objective set out in clause 6.5.6(a)(2) of the National Electricity Rules or, in the alternative, clause 6.5.6(a)(1), (a)(3) and/or (a)(4) of the Rules.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85725</xdr:rowOff>
    </xdr:from>
    <xdr:to>
      <xdr:col>9</xdr:col>
      <xdr:colOff>161925</xdr:colOff>
      <xdr:row>6</xdr:row>
      <xdr:rowOff>102393</xdr:rowOff>
    </xdr:to>
    <xdr:sp macro="" textlink="">
      <xdr:nvSpPr>
        <xdr:cNvPr id="2" name="Rectangle 1">
          <a:extLst>
            <a:ext uri="{FF2B5EF4-FFF2-40B4-BE49-F238E27FC236}">
              <a16:creationId xmlns:a16="http://schemas.microsoft.com/office/drawing/2014/main" id="{00000000-0008-0000-0800-000002000000}"/>
            </a:ext>
          </a:extLst>
        </xdr:cNvPr>
        <xdr:cNvSpPr/>
      </xdr:nvSpPr>
      <xdr:spPr>
        <a:xfrm>
          <a:off x="0" y="752475"/>
          <a:ext cx="8222456" cy="51673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000">
              <a:solidFill>
                <a:sysClr val="windowText" lastClr="000000"/>
              </a:solidFill>
            </a:rPr>
            <a:t>There is an opportunity to increase customer benefits by allowing more solar on the network. This will result in material changes in operating expenditure.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5</xdr:row>
      <xdr:rowOff>47625</xdr:rowOff>
    </xdr:from>
    <xdr:to>
      <xdr:col>9</xdr:col>
      <xdr:colOff>133350</xdr:colOff>
      <xdr:row>8</xdr:row>
      <xdr:rowOff>28575</xdr:rowOff>
    </xdr:to>
    <xdr:sp macro="" textlink="">
      <xdr:nvSpPr>
        <xdr:cNvPr id="2" name="Rectangle 1">
          <a:extLst>
            <a:ext uri="{FF2B5EF4-FFF2-40B4-BE49-F238E27FC236}">
              <a16:creationId xmlns:a16="http://schemas.microsoft.com/office/drawing/2014/main" id="{00000000-0008-0000-0B00-000002000000}"/>
            </a:ext>
          </a:extLst>
        </xdr:cNvPr>
        <xdr:cNvSpPr/>
      </xdr:nvSpPr>
      <xdr:spPr>
        <a:xfrm>
          <a:off x="95250" y="1847850"/>
          <a:ext cx="7267575" cy="4667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AU" sz="1000">
              <a:solidFill>
                <a:sysClr val="windowText" lastClr="000000"/>
              </a:solidFill>
              <a:effectLst/>
              <a:latin typeface="+mn-lt"/>
              <a:ea typeface="+mn-ea"/>
              <a:cs typeface="+mn-cs"/>
            </a:rPr>
            <a:t>There is an opportunity to reduce</a:t>
          </a:r>
          <a:r>
            <a:rPr lang="en-AU" sz="1000" baseline="0">
              <a:solidFill>
                <a:sysClr val="windowText" lastClr="000000"/>
              </a:solidFill>
              <a:effectLst/>
              <a:latin typeface="+mn-lt"/>
              <a:ea typeface="+mn-ea"/>
              <a:cs typeface="+mn-cs"/>
            </a:rPr>
            <a:t> costs and deliver </a:t>
          </a:r>
          <a:r>
            <a:rPr lang="en-AU" sz="1000">
              <a:solidFill>
                <a:sysClr val="windowText" lastClr="000000"/>
              </a:solidFill>
              <a:effectLst/>
              <a:latin typeface="+mn-lt"/>
              <a:ea typeface="+mn-ea"/>
              <a:cs typeface="+mn-cs"/>
            </a:rPr>
            <a:t>customer benefits by migrating some IT infrastcuture from on-premise to cloud-hosting.</a:t>
          </a:r>
          <a:endParaRPr lang="en-AU" sz="800">
            <a:solidFill>
              <a:sysClr val="windowText" lastClr="000000"/>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20Final%20Revised%20Proposal/1%20CitiPower/4%20Models/01%20SCS/CP%20RRP%20MOD%2010.06%20-%20Opex%20-%20Dec2020%20-%20Publ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RP Amendments"/>
      <sheetName val="Input|General"/>
      <sheetName val="Input|Inflation"/>
      <sheetName val="Input|Reported opex"/>
      <sheetName val="Input|Rate of change"/>
      <sheetName val="Input|Step changes"/>
      <sheetName val="Calc|Opex forecast"/>
      <sheetName val="Output|Models"/>
      <sheetName val="Lookup|Tables"/>
      <sheetName val="Check|List"/>
    </sheetNames>
    <sheetDataSet>
      <sheetData sheetId="0"/>
      <sheetData sheetId="1"/>
      <sheetData sheetId="2"/>
      <sheetData sheetId="3"/>
      <sheetData sheetId="4"/>
      <sheetData sheetId="5">
        <row r="40">
          <cell r="Q40">
            <v>7.762137192630263E-3</v>
          </cell>
          <cell r="R40">
            <v>4.9608934391037352E-3</v>
          </cell>
          <cell r="S40">
            <v>6.512577699459102E-3</v>
          </cell>
          <cell r="T40">
            <v>9.9346404822831889E-3</v>
          </cell>
          <cell r="U40">
            <v>1.3075423782207421E-2</v>
          </cell>
        </row>
      </sheetData>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FFFF"/>
    <pageSetUpPr fitToPage="1"/>
  </sheetPr>
  <dimension ref="A1:AA42"/>
  <sheetViews>
    <sheetView showGridLines="0" zoomScale="80" zoomScaleNormal="80" workbookViewId="0">
      <pane xSplit="2" ySplit="5" topLeftCell="C6" activePane="bottomRight" state="frozen"/>
      <selection pane="topRight" activeCell="C1" sqref="C1"/>
      <selection pane="bottomLeft" activeCell="A6" sqref="A6"/>
      <selection pane="bottomRight" activeCell="AA42" sqref="AA42"/>
    </sheetView>
  </sheetViews>
  <sheetFormatPr defaultColWidth="9" defaultRowHeight="12.75" x14ac:dyDescent="0.2"/>
  <cols>
    <col min="1" max="1" width="6" style="1" customWidth="1"/>
    <col min="2" max="2" width="40.625" style="1" customWidth="1"/>
    <col min="3" max="3" width="0.875" style="1" customWidth="1"/>
    <col min="4" max="4" width="8" style="1" customWidth="1"/>
    <col min="5" max="11" width="2.625" style="1" customWidth="1"/>
    <col min="12" max="12" width="9" style="1" customWidth="1"/>
    <col min="13" max="13" width="9.125" style="1" customWidth="1"/>
    <col min="14" max="17" width="9" style="1"/>
    <col min="18" max="18" width="2.375" style="1" customWidth="1"/>
    <col min="19" max="16384" width="9" style="1"/>
  </cols>
  <sheetData>
    <row r="1" spans="1:27" ht="21" x14ac:dyDescent="0.35">
      <c r="A1" s="3" t="s">
        <v>7</v>
      </c>
    </row>
    <row r="2" spans="1:27" ht="18.75" x14ac:dyDescent="0.3">
      <c r="A2" s="7" t="str">
        <f ca="1">RIGHT(CELL("filename",A1),LEN(CELL("filename",A1))-FIND("]",CELL("filename",A1),1))</f>
        <v>Output</v>
      </c>
      <c r="D2" s="71" t="b">
        <f ca="1">MAX($A$7:$A$18)=CP_count</f>
        <v>1</v>
      </c>
    </row>
    <row r="4" spans="1:27" x14ac:dyDescent="0.2">
      <c r="K4" s="30"/>
      <c r="L4" s="30"/>
      <c r="M4" s="30"/>
      <c r="N4" s="30"/>
      <c r="O4" s="30"/>
      <c r="P4" s="30"/>
      <c r="Q4" s="30"/>
    </row>
    <row r="5" spans="1:27" x14ac:dyDescent="0.2">
      <c r="A5" s="49" t="s">
        <v>0</v>
      </c>
      <c r="B5" s="49"/>
      <c r="C5" s="49"/>
      <c r="D5" s="49"/>
      <c r="E5" s="49"/>
      <c r="F5" s="49"/>
      <c r="G5" s="49"/>
      <c r="H5" s="49"/>
      <c r="I5" s="49"/>
      <c r="J5" s="2"/>
      <c r="K5" s="2"/>
      <c r="L5" s="6"/>
      <c r="M5" s="6" t="s">
        <v>17</v>
      </c>
      <c r="N5" s="6" t="s">
        <v>18</v>
      </c>
      <c r="O5" s="6" t="s">
        <v>19</v>
      </c>
      <c r="P5" s="6" t="s">
        <v>20</v>
      </c>
      <c r="Q5" s="6" t="s">
        <v>21</v>
      </c>
      <c r="S5" s="6" t="s">
        <v>5</v>
      </c>
    </row>
    <row r="7" spans="1:27" x14ac:dyDescent="0.2">
      <c r="A7" s="74">
        <v>1</v>
      </c>
      <c r="B7" s="8" t="str">
        <f ca="1">IF(A7="", "", INDEX(Summary!H$7:H$10, MATCH($A$1&amp;$A7, Summary!$D$7:$D$10,0)))</f>
        <v>Security of Critical Infrastructure</v>
      </c>
      <c r="G7" s="23"/>
      <c r="K7" s="8"/>
      <c r="L7" s="8"/>
      <c r="M7" s="8">
        <f ca="1">IF($A7="", "", INDEX(Summary!M$7:M$10, MATCH($A$1&amp;$A7, Summary!$D$7:$D$10,0)))</f>
        <v>2416.1422739717573</v>
      </c>
      <c r="N7" s="8">
        <f ca="1">IF($A7="", "", INDEX(Summary!N$7:N$10, MATCH($A$1&amp;$A7, Summary!$D$7:$D$10,0)))</f>
        <v>1709.7629208919104</v>
      </c>
      <c r="O7" s="8">
        <f ca="1">IF($A7="", "", INDEX(Summary!O$7:O$10, MATCH($A$1&amp;$A7, Summary!$D$7:$D$10,0)))</f>
        <v>1652.8670470000197</v>
      </c>
      <c r="P7" s="8">
        <f ca="1">IF($A7="", "", INDEX(Summary!P$7:P$10, MATCH($A$1&amp;$A7, Summary!$D$7:$D$10,0)))</f>
        <v>1534.3399241136399</v>
      </c>
      <c r="Q7" s="8">
        <f ca="1">IF($A7="", "", INDEX(Summary!Q$7:Q$10, MATCH($A$1&amp;$A7, Summary!$D$7:$D$10,0)))</f>
        <v>1546.2167137960173</v>
      </c>
      <c r="S7" s="9">
        <f t="shared" ref="S7:S10" ca="1" si="0">SUM(M7:Q7)</f>
        <v>8859.3288797733439</v>
      </c>
      <c r="T7" s="8"/>
      <c r="V7" s="39"/>
      <c r="W7" s="39"/>
      <c r="X7" s="39"/>
      <c r="Y7" s="39"/>
      <c r="Z7" s="39"/>
      <c r="AA7" s="39"/>
    </row>
    <row r="8" spans="1:27" x14ac:dyDescent="0.2">
      <c r="A8" s="28">
        <f t="shared" ref="A8:A19" ca="1" si="1">IF($A7&lt;CP_count, A7+1, "")</f>
        <v>2</v>
      </c>
      <c r="B8" s="8" t="str">
        <f ca="1">IF(A8="", "", INDEX(Summary!H$7:H$10, MATCH($A$1&amp;$A8, Summary!$D$7:$D$10,0)))</f>
        <v>IT cloud solutions</v>
      </c>
      <c r="G8" s="23"/>
      <c r="H8" s="5"/>
      <c r="K8" s="8"/>
      <c r="L8" s="8"/>
      <c r="M8" s="8">
        <f ca="1">IF($A8="", "", INDEX(Summary!M$7:M$10, MATCH($A$1&amp;$A8, Summary!$D$7:$D$10,0)))</f>
        <v>328.71750538357384</v>
      </c>
      <c r="N8" s="8">
        <f ca="1">IF($A8="", "", INDEX(Summary!N$7:N$10, MATCH($A$1&amp;$A8, Summary!$D$7:$D$10,0)))</f>
        <v>325.26745328975403</v>
      </c>
      <c r="O8" s="8">
        <f ca="1">IF($A8="", "", INDEX(Summary!O$7:O$10, MATCH($A$1&amp;$A8, Summary!$D$7:$D$10,0)))</f>
        <v>465.33680282477314</v>
      </c>
      <c r="P8" s="8">
        <f ca="1">IF($A8="", "", INDEX(Summary!P$7:P$10, MATCH($A$1&amp;$A8, Summary!$D$7:$D$10,0)))</f>
        <v>552.27811197175049</v>
      </c>
      <c r="Q8" s="8">
        <f ca="1">IF($A8="", "", INDEX(Summary!Q$7:Q$10, MATCH($A$1&amp;$A8, Summary!$D$7:$D$10,0)))</f>
        <v>550.2878325506822</v>
      </c>
      <c r="S8" s="9">
        <f t="shared" ca="1" si="0"/>
        <v>2221.8877060205336</v>
      </c>
      <c r="T8" s="8"/>
      <c r="U8" s="40"/>
      <c r="V8" s="40"/>
      <c r="W8" s="40"/>
      <c r="X8" s="40"/>
      <c r="Y8" s="40"/>
      <c r="Z8" s="40"/>
      <c r="AA8" s="39"/>
    </row>
    <row r="9" spans="1:27" x14ac:dyDescent="0.2">
      <c r="A9" s="28">
        <f t="shared" ca="1" si="1"/>
        <v>3</v>
      </c>
      <c r="B9" s="8" t="str">
        <f ca="1">IF(A9="", "", INDEX(Summary!H$7:H$10, MATCH($A$1&amp;$A9, Summary!$D$7:$D$10,0)))</f>
        <v>5 minute settlement</v>
      </c>
      <c r="G9" s="23"/>
      <c r="H9" s="5"/>
      <c r="K9" s="8"/>
      <c r="L9" s="8"/>
      <c r="M9" s="8">
        <f ca="1">IF($A9="", "", INDEX(Summary!M$7:M$10, MATCH($A$1&amp;$A9, Summary!$D$7:$D$10,0)))</f>
        <v>199.82383599850812</v>
      </c>
      <c r="N9" s="8">
        <f ca="1">IF($A9="", "", INDEX(Summary!N$7:N$10, MATCH($A$1&amp;$A9, Summary!$D$7:$D$10,0)))</f>
        <v>279.04208500876911</v>
      </c>
      <c r="O9" s="8">
        <f ca="1">IF($A9="", "", INDEX(Summary!O$7:O$10, MATCH($A$1&amp;$A9, Summary!$D$7:$D$10,0)))</f>
        <v>354.39604680446604</v>
      </c>
      <c r="P9" s="8">
        <f ca="1">IF($A9="", "", INDEX(Summary!P$7:P$10, MATCH($A$1&amp;$A9, Summary!$D$7:$D$10,0)))</f>
        <v>432.08638096355151</v>
      </c>
      <c r="Q9" s="8">
        <f ca="1">IF($A9="", "", INDEX(Summary!Q$7:Q$10, MATCH($A$1&amp;$A9, Summary!$D$7:$D$10,0)))</f>
        <v>514.99211359167089</v>
      </c>
      <c r="S9" s="9">
        <f t="shared" ca="1" si="0"/>
        <v>1780.3404623669655</v>
      </c>
      <c r="T9" s="8"/>
      <c r="V9" s="39"/>
      <c r="W9" s="39"/>
      <c r="X9" s="39"/>
      <c r="Y9" s="39"/>
      <c r="Z9" s="39"/>
      <c r="AA9" s="39"/>
    </row>
    <row r="10" spans="1:27" x14ac:dyDescent="0.2">
      <c r="A10" s="28">
        <f t="shared" ca="1" si="1"/>
        <v>4</v>
      </c>
      <c r="B10" s="8" t="str">
        <f ca="1">IF(A10="", "", INDEX(Summary!H$7:H$10, MATCH($A$1&amp;$A10, Summary!$D$7:$D$10,0)))</f>
        <v>Solar enablement</v>
      </c>
      <c r="H10" s="5"/>
      <c r="M10" s="8">
        <f ca="1">IF($A10="", "", INDEX(Summary!M$7:M$10, MATCH($A$1&amp;$A10, Summary!$D$7:$D$10,0)))</f>
        <v>300.00707496957801</v>
      </c>
      <c r="N10" s="8">
        <f ca="1">IF($A10="", "", INDEX(Summary!N$7:N$10, MATCH($A$1&amp;$A10, Summary!$D$7:$D$10,0)))</f>
        <v>229.72823369127383</v>
      </c>
      <c r="O10" s="8">
        <f ca="1">IF($A10="", "", INDEX(Summary!O$7:O$10, MATCH($A$1&amp;$A10, Summary!$D$7:$D$10,0)))</f>
        <v>269.05407105684708</v>
      </c>
      <c r="P10" s="8">
        <f ca="1">IF($A10="", "", INDEX(Summary!P$7:P$10, MATCH($A$1&amp;$A10, Summary!$D$7:$D$10,0)))</f>
        <v>123.7356354804444</v>
      </c>
      <c r="Q10" s="8">
        <f ca="1">IF($A10="", "", INDEX(Summary!Q$7:Q$10, MATCH($A$1&amp;$A10, Summary!$D$7:$D$10,0)))</f>
        <v>113.27021731253713</v>
      </c>
      <c r="S10" s="9">
        <f t="shared" ca="1" si="0"/>
        <v>1035.7952325106805</v>
      </c>
      <c r="V10" s="39"/>
      <c r="W10" s="39"/>
      <c r="X10" s="39"/>
      <c r="Y10" s="39"/>
      <c r="Z10" s="39"/>
      <c r="AA10" s="39"/>
    </row>
    <row r="11" spans="1:27" x14ac:dyDescent="0.2">
      <c r="A11" s="28" t="str">
        <f t="shared" ca="1" si="1"/>
        <v/>
      </c>
      <c r="B11" s="8" t="str">
        <f ca="1">IF(A11="", "", INDEX(Summary!H$7:H$10, MATCH($A$1&amp;$A11, Summary!$D$7:$D$10,0)))</f>
        <v/>
      </c>
      <c r="G11" s="23"/>
      <c r="H11" s="5"/>
      <c r="K11" s="8"/>
      <c r="L11" s="8"/>
      <c r="M11" s="8" t="str">
        <f ca="1">IF($A11="", "", INDEX(Summary!M$7:M$10, MATCH($A$1&amp;$A11, Summary!$D$7:$D$10,0)))</f>
        <v/>
      </c>
      <c r="N11" s="8" t="str">
        <f ca="1">IF($A11="", "", INDEX(Summary!N$7:N$10, MATCH($A$1&amp;$A11, Summary!$D$7:$D$10,0)))</f>
        <v/>
      </c>
      <c r="O11" s="8" t="str">
        <f ca="1">IF($A11="", "", INDEX(Summary!O$7:O$10, MATCH($A$1&amp;$A11, Summary!$D$7:$D$10,0)))</f>
        <v/>
      </c>
      <c r="P11" s="8" t="str">
        <f ca="1">IF($A11="", "", INDEX(Summary!P$7:P$10, MATCH($A$1&amp;$A11, Summary!$D$7:$D$10,0)))</f>
        <v/>
      </c>
      <c r="Q11" s="8" t="str">
        <f ca="1">IF($A11="", "", INDEX(Summary!Q$7:Q$10, MATCH($A$1&amp;$A11, Summary!$D$7:$D$10,0)))</f>
        <v/>
      </c>
      <c r="S11" s="9">
        <f ca="1">SUM(M11:Q11)</f>
        <v>0</v>
      </c>
      <c r="T11" s="8"/>
      <c r="V11" s="39"/>
      <c r="W11" s="39"/>
      <c r="X11" s="39"/>
      <c r="Y11" s="39"/>
      <c r="Z11" s="39"/>
      <c r="AA11" s="39"/>
    </row>
    <row r="12" spans="1:27" x14ac:dyDescent="0.2">
      <c r="A12" s="28" t="str">
        <f t="shared" ca="1" si="1"/>
        <v/>
      </c>
      <c r="B12" s="8" t="str">
        <f ca="1">IF(A12="", "", INDEX(Summary!H$7:H$10, MATCH($A$1&amp;$A12, Summary!$D$7:$D$10,0)))</f>
        <v/>
      </c>
      <c r="H12" s="5"/>
      <c r="K12" s="8"/>
      <c r="L12" s="8"/>
      <c r="M12" s="8" t="str">
        <f ca="1">IF($A12="", "", INDEX(Summary!M$7:M$10, MATCH($A$1&amp;$A12, Summary!$D$7:$D$10,0)))</f>
        <v/>
      </c>
      <c r="N12" s="8" t="str">
        <f ca="1">IF($A12="", "", INDEX(Summary!N$7:N$10, MATCH($A$1&amp;$A12, Summary!$D$7:$D$10,0)))</f>
        <v/>
      </c>
      <c r="O12" s="8" t="str">
        <f ca="1">IF($A12="", "", INDEX(Summary!O$7:O$10, MATCH($A$1&amp;$A12, Summary!$D$7:$D$10,0)))</f>
        <v/>
      </c>
      <c r="P12" s="8" t="str">
        <f ca="1">IF($A12="", "", INDEX(Summary!P$7:P$10, MATCH($A$1&amp;$A12, Summary!$D$7:$D$10,0)))</f>
        <v/>
      </c>
      <c r="Q12" s="8" t="str">
        <f ca="1">IF($A12="", "", INDEX(Summary!Q$7:Q$10, MATCH($A$1&amp;$A12, Summary!$D$7:$D$10,0)))</f>
        <v/>
      </c>
      <c r="S12" s="9">
        <f ca="1">SUM(M12:Q12)</f>
        <v>0</v>
      </c>
      <c r="V12" s="39"/>
      <c r="W12" s="39"/>
      <c r="X12" s="39"/>
      <c r="Y12" s="39"/>
      <c r="Z12" s="39"/>
      <c r="AA12" s="39"/>
    </row>
    <row r="13" spans="1:27" x14ac:dyDescent="0.2">
      <c r="A13" s="28" t="str">
        <f t="shared" ca="1" si="1"/>
        <v/>
      </c>
      <c r="B13" s="8" t="str">
        <f ca="1">IF(A13="", "", INDEX(Summary!H$7:H$10, MATCH($A$1&amp;$A13, Summary!$D$7:$D$10,0)))</f>
        <v/>
      </c>
      <c r="H13" s="5"/>
      <c r="K13" s="8"/>
      <c r="L13" s="8"/>
      <c r="M13" s="8" t="str">
        <f ca="1">IF($A13="", "", INDEX(Summary!M$7:M$10, MATCH($A$1&amp;$A13, Summary!$D$7:$D$10,0)))</f>
        <v/>
      </c>
      <c r="N13" s="8" t="str">
        <f ca="1">IF($A13="", "", INDEX(Summary!N$7:N$10, MATCH($A$1&amp;$A13, Summary!$D$7:$D$10,0)))</f>
        <v/>
      </c>
      <c r="O13" s="8" t="str">
        <f ca="1">IF($A13="", "", INDEX(Summary!O$7:O$10, MATCH($A$1&amp;$A13, Summary!$D$7:$D$10,0)))</f>
        <v/>
      </c>
      <c r="P13" s="8" t="str">
        <f ca="1">IF($A13="", "", INDEX(Summary!P$7:P$10, MATCH($A$1&amp;$A13, Summary!$D$7:$D$10,0)))</f>
        <v/>
      </c>
      <c r="Q13" s="8" t="str">
        <f ca="1">IF($A13="", "", INDEX(Summary!Q$7:Q$10, MATCH($A$1&amp;$A13, Summary!$D$7:$D$10,0)))</f>
        <v/>
      </c>
      <c r="S13" s="9">
        <f ca="1">SUM(M13:Q13)</f>
        <v>0</v>
      </c>
      <c r="V13" s="39"/>
      <c r="W13" s="39"/>
      <c r="X13" s="39"/>
      <c r="Y13" s="39"/>
      <c r="Z13" s="39"/>
      <c r="AA13" s="39"/>
    </row>
    <row r="14" spans="1:27" x14ac:dyDescent="0.2">
      <c r="A14" s="28" t="str">
        <f t="shared" ca="1" si="1"/>
        <v/>
      </c>
      <c r="B14" s="8" t="str">
        <f ca="1">IF(A14="", "", INDEX(Summary!H$7:H$10, MATCH($A$1&amp;$A14, Summary!$D$7:$D$10,0)))</f>
        <v/>
      </c>
      <c r="H14" s="5"/>
      <c r="M14" s="8" t="str">
        <f ca="1">IF($A14="", "", INDEX(Summary!M$7:M$10, MATCH($A$1&amp;$A14, Summary!$D$7:$D$10,0)))</f>
        <v/>
      </c>
      <c r="N14" s="8" t="str">
        <f ca="1">IF($A14="", "", INDEX(Summary!N$7:N$10, MATCH($A$1&amp;$A14, Summary!$D$7:$D$10,0)))</f>
        <v/>
      </c>
      <c r="O14" s="8" t="str">
        <f ca="1">IF($A14="", "", INDEX(Summary!O$7:O$10, MATCH($A$1&amp;$A14, Summary!$D$7:$D$10,0)))</f>
        <v/>
      </c>
      <c r="P14" s="8" t="str">
        <f ca="1">IF($A14="", "", INDEX(Summary!P$7:P$10, MATCH($A$1&amp;$A14, Summary!$D$7:$D$10,0)))</f>
        <v/>
      </c>
      <c r="Q14" s="8" t="str">
        <f ca="1">IF($A14="", "", INDEX(Summary!Q$7:Q$10, MATCH($A$1&amp;$A14, Summary!$D$7:$D$10,0)))</f>
        <v/>
      </c>
      <c r="S14" s="9">
        <f ca="1">SUM(M14:Q14)</f>
        <v>0</v>
      </c>
    </row>
    <row r="15" spans="1:27" x14ac:dyDescent="0.2">
      <c r="A15" s="28" t="str">
        <f t="shared" ca="1" si="1"/>
        <v/>
      </c>
      <c r="B15" s="8" t="str">
        <f ca="1">IF(A15="", "", INDEX(Summary!H$7:H$10, MATCH($A$1&amp;$A15, Summary!$D$7:$D$10,0)))</f>
        <v/>
      </c>
      <c r="H15" s="5"/>
      <c r="K15" s="8"/>
      <c r="L15" s="8"/>
      <c r="M15" s="8" t="str">
        <f ca="1">IF($A15="", "", INDEX(Summary!M$7:M$10, MATCH($A$1&amp;$A15, Summary!$D$7:$D$10,0)))</f>
        <v/>
      </c>
      <c r="N15" s="8" t="str">
        <f ca="1">IF($A15="", "", INDEX(Summary!N$7:N$10, MATCH($A$1&amp;$A15, Summary!$D$7:$D$10,0)))</f>
        <v/>
      </c>
      <c r="O15" s="8" t="str">
        <f ca="1">IF($A15="", "", INDEX(Summary!O$7:O$10, MATCH($A$1&amp;$A15, Summary!$D$7:$D$10,0)))</f>
        <v/>
      </c>
      <c r="P15" s="8" t="str">
        <f ca="1">IF($A15="", "", INDEX(Summary!P$7:P$10, MATCH($A$1&amp;$A15, Summary!$D$7:$D$10,0)))</f>
        <v/>
      </c>
      <c r="Q15" s="8" t="str">
        <f ca="1">IF($A15="", "", INDEX(Summary!Q$7:Q$10, MATCH($A$1&amp;$A15, Summary!$D$7:$D$10,0)))</f>
        <v/>
      </c>
      <c r="S15" s="9">
        <f t="shared" ref="S15:S17" ca="1" si="2">SUM(M15:Q15)</f>
        <v>0</v>
      </c>
    </row>
    <row r="16" spans="1:27" x14ac:dyDescent="0.2">
      <c r="A16" s="28" t="str">
        <f t="shared" ca="1" si="1"/>
        <v/>
      </c>
      <c r="B16" s="8" t="str">
        <f ca="1">IF(A16="", "", INDEX(Summary!H$7:H$10, MATCH($A$1&amp;$A16, Summary!$D$7:$D$10,0)))</f>
        <v/>
      </c>
      <c r="H16" s="5"/>
      <c r="K16" s="8"/>
      <c r="L16" s="8"/>
      <c r="M16" s="8" t="str">
        <f ca="1">IF($A16="", "", INDEX(Summary!M$7:M$10, MATCH($A$1&amp;$A16, Summary!$D$7:$D$10,0)))</f>
        <v/>
      </c>
      <c r="N16" s="8" t="str">
        <f ca="1">IF($A16="", "", INDEX(Summary!N$7:N$10, MATCH($A$1&amp;$A16, Summary!$D$7:$D$10,0)))</f>
        <v/>
      </c>
      <c r="O16" s="8" t="str">
        <f ca="1">IF($A16="", "", INDEX(Summary!O$7:O$10, MATCH($A$1&amp;$A16, Summary!$D$7:$D$10,0)))</f>
        <v/>
      </c>
      <c r="P16" s="8" t="str">
        <f ca="1">IF($A16="", "", INDEX(Summary!P$7:P$10, MATCH($A$1&amp;$A16, Summary!$D$7:$D$10,0)))</f>
        <v/>
      </c>
      <c r="Q16" s="8" t="str">
        <f ca="1">IF($A16="", "", INDEX(Summary!Q$7:Q$10, MATCH($A$1&amp;$A16, Summary!$D$7:$D$10,0)))</f>
        <v/>
      </c>
      <c r="S16" s="9">
        <f t="shared" ca="1" si="2"/>
        <v>0</v>
      </c>
    </row>
    <row r="17" spans="1:27" x14ac:dyDescent="0.2">
      <c r="A17" s="28" t="str">
        <f t="shared" ca="1" si="1"/>
        <v/>
      </c>
      <c r="B17" s="8" t="str">
        <f ca="1">IF(A17="", "", INDEX(Summary!H$7:H$10, MATCH($A$1&amp;$A17, Summary!$D$7:$D$10,0)))</f>
        <v/>
      </c>
      <c r="H17" s="5"/>
      <c r="K17" s="8"/>
      <c r="L17" s="8"/>
      <c r="M17" s="8" t="str">
        <f ca="1">IF($A17="", "", INDEX(Summary!M$7:M$10, MATCH($A$1&amp;$A17, Summary!$D$7:$D$10,0)))</f>
        <v/>
      </c>
      <c r="N17" s="8" t="str">
        <f ca="1">IF($A17="", "", INDEX(Summary!N$7:N$10, MATCH($A$1&amp;$A17, Summary!$D$7:$D$10,0)))</f>
        <v/>
      </c>
      <c r="O17" s="8" t="str">
        <f ca="1">IF($A17="", "", INDEX(Summary!O$7:O$10, MATCH($A$1&amp;$A17, Summary!$D$7:$D$10,0)))</f>
        <v/>
      </c>
      <c r="P17" s="8" t="str">
        <f ca="1">IF($A17="", "", INDEX(Summary!P$7:P$10, MATCH($A$1&amp;$A17, Summary!$D$7:$D$10,0)))</f>
        <v/>
      </c>
      <c r="Q17" s="8" t="str">
        <f ca="1">IF($A17="", "", INDEX(Summary!Q$7:Q$10, MATCH($A$1&amp;$A17, Summary!$D$7:$D$10,0)))</f>
        <v/>
      </c>
      <c r="S17" s="9">
        <f t="shared" ca="1" si="2"/>
        <v>0</v>
      </c>
    </row>
    <row r="18" spans="1:27" x14ac:dyDescent="0.2">
      <c r="A18" s="28" t="str">
        <f t="shared" ca="1" si="1"/>
        <v/>
      </c>
      <c r="B18" s="8" t="str">
        <f ca="1">IF(A18="", "", INDEX(Summary!H$7:H$10, MATCH($A$1&amp;$A18, Summary!$D$7:$D$10,0)))</f>
        <v/>
      </c>
      <c r="H18" s="5"/>
      <c r="K18" s="8"/>
      <c r="L18" s="8"/>
      <c r="M18" s="8" t="str">
        <f ca="1">IF($A18="", "", INDEX(Summary!M$7:M$10, MATCH($A$1&amp;$A18, Summary!$D$7:$D$10,0)))</f>
        <v/>
      </c>
      <c r="N18" s="8" t="str">
        <f ca="1">IF($A18="", "", INDEX(Summary!N$7:N$10, MATCH($A$1&amp;$A18, Summary!$D$7:$D$10,0)))</f>
        <v/>
      </c>
      <c r="O18" s="8" t="str">
        <f ca="1">IF($A18="", "", INDEX(Summary!O$7:O$10, MATCH($A$1&amp;$A18, Summary!$D$7:$D$10,0)))</f>
        <v/>
      </c>
      <c r="P18" s="8" t="str">
        <f ca="1">IF($A18="", "", INDEX(Summary!P$7:P$10, MATCH($A$1&amp;$A18, Summary!$D$7:$D$10,0)))</f>
        <v/>
      </c>
      <c r="Q18" s="8" t="str">
        <f ca="1">IF($A18="", "", INDEX(Summary!Q$7:Q$10, MATCH($A$1&amp;$A18, Summary!$D$7:$D$10,0)))</f>
        <v/>
      </c>
      <c r="S18" s="9">
        <f t="shared" ref="S18" ca="1" si="3">SUM(M18:Q18)</f>
        <v>0</v>
      </c>
    </row>
    <row r="19" spans="1:27" x14ac:dyDescent="0.2">
      <c r="A19" s="28" t="str">
        <f t="shared" ca="1" si="1"/>
        <v/>
      </c>
      <c r="B19" s="8" t="str">
        <f ca="1">IF(A19="", "", INDEX(Summary!H$7:H$10, MATCH($A$1&amp;$A19, Summary!$D$7:$D$10,0)))</f>
        <v/>
      </c>
      <c r="H19" s="5"/>
      <c r="K19" s="8"/>
      <c r="L19" s="8"/>
      <c r="M19" s="8"/>
      <c r="N19" s="8"/>
      <c r="O19" s="8"/>
      <c r="P19" s="8"/>
      <c r="Q19" s="8"/>
    </row>
    <row r="20" spans="1:27" ht="13.5" thickBot="1" x14ac:dyDescent="0.25">
      <c r="A20" s="21"/>
      <c r="B20" s="21" t="s">
        <v>5</v>
      </c>
      <c r="C20" s="20"/>
      <c r="D20" s="20"/>
      <c r="E20" s="20"/>
      <c r="F20" s="20"/>
      <c r="G20" s="20"/>
      <c r="H20" s="20"/>
      <c r="I20" s="20"/>
      <c r="J20" s="20"/>
      <c r="K20" s="20"/>
      <c r="L20" s="20"/>
      <c r="M20" s="20">
        <f ca="1">SUM(M7:M16)</f>
        <v>3244.6906903234171</v>
      </c>
      <c r="N20" s="20">
        <f ca="1">SUM(N7:N16)</f>
        <v>2543.8006928817076</v>
      </c>
      <c r="O20" s="20">
        <f ca="1">SUM(O7:O16)</f>
        <v>2741.6539676861062</v>
      </c>
      <c r="P20" s="20">
        <f ca="1">SUM(P7:P16)</f>
        <v>2642.4400525293863</v>
      </c>
      <c r="Q20" s="20">
        <f ca="1">SUM(Q7:Q16)</f>
        <v>2724.7668772509078</v>
      </c>
      <c r="R20" s="4"/>
      <c r="S20" s="21">
        <f ca="1">SUM(S7:S19)</f>
        <v>13897.352280671523</v>
      </c>
      <c r="T20" s="8"/>
      <c r="V20" s="39"/>
      <c r="W20" s="39"/>
      <c r="X20" s="39"/>
      <c r="Y20" s="39"/>
      <c r="Z20" s="39"/>
      <c r="AA20" s="39"/>
    </row>
    <row r="21" spans="1:27" ht="13.5" thickTop="1" x14ac:dyDescent="0.2">
      <c r="K21" s="8"/>
      <c r="L21" s="8"/>
      <c r="M21" s="8"/>
      <c r="N21" s="8"/>
      <c r="O21" s="8"/>
      <c r="P21" s="8"/>
      <c r="Q21" s="8"/>
    </row>
    <row r="22" spans="1:27" x14ac:dyDescent="0.2">
      <c r="K22" s="8"/>
      <c r="L22" s="8"/>
      <c r="M22" s="8"/>
      <c r="N22" s="8"/>
      <c r="O22" s="8"/>
      <c r="P22" s="8"/>
      <c r="Q22" s="8"/>
    </row>
    <row r="23" spans="1:27" x14ac:dyDescent="0.2">
      <c r="K23" s="8"/>
      <c r="L23" s="8"/>
      <c r="M23" s="9"/>
      <c r="N23" s="9"/>
      <c r="O23" s="9"/>
      <c r="P23" s="9"/>
      <c r="Q23" s="9"/>
      <c r="R23" s="4"/>
      <c r="S23" s="4"/>
    </row>
    <row r="24" spans="1:27" x14ac:dyDescent="0.2">
      <c r="K24" s="8"/>
      <c r="L24" s="8"/>
      <c r="M24" s="8"/>
      <c r="N24" s="8"/>
      <c r="O24" s="8"/>
      <c r="P24" s="8"/>
      <c r="Q24" s="8"/>
    </row>
    <row r="25" spans="1:27" x14ac:dyDescent="0.2">
      <c r="K25" s="8"/>
      <c r="L25" s="8"/>
      <c r="M25" s="8"/>
      <c r="N25" s="8"/>
      <c r="O25" s="8"/>
      <c r="P25" s="8"/>
      <c r="Q25" s="8"/>
      <c r="R25" s="8"/>
      <c r="S25" s="8"/>
    </row>
    <row r="26" spans="1:27" x14ac:dyDescent="0.2">
      <c r="K26" s="8"/>
      <c r="L26" s="8"/>
      <c r="M26" s="8"/>
      <c r="N26" s="8"/>
      <c r="O26" s="8"/>
      <c r="P26" s="8"/>
      <c r="Q26" s="8"/>
    </row>
    <row r="27" spans="1:27" x14ac:dyDescent="0.2">
      <c r="K27" s="8"/>
      <c r="L27" s="8"/>
      <c r="M27" s="8"/>
      <c r="N27" s="8"/>
      <c r="O27" s="8"/>
      <c r="P27" s="8"/>
      <c r="Q27" s="8"/>
    </row>
    <row r="28" spans="1:27" x14ac:dyDescent="0.2">
      <c r="K28" s="8"/>
      <c r="L28" s="8"/>
      <c r="M28" s="8"/>
      <c r="N28" s="8"/>
      <c r="O28" s="8"/>
      <c r="P28" s="8"/>
      <c r="Q28" s="8"/>
    </row>
    <row r="29" spans="1:27" x14ac:dyDescent="0.2">
      <c r="K29" s="8"/>
      <c r="L29" s="8"/>
      <c r="M29" s="22"/>
      <c r="N29" s="22"/>
      <c r="O29" s="22"/>
      <c r="P29" s="22"/>
      <c r="Q29" s="22"/>
    </row>
    <row r="30" spans="1:27" x14ac:dyDescent="0.2">
      <c r="K30" s="8"/>
      <c r="L30" s="8"/>
      <c r="M30" s="8"/>
      <c r="N30" s="8"/>
      <c r="O30" s="8"/>
      <c r="P30" s="8"/>
      <c r="Q30" s="8"/>
    </row>
    <row r="31" spans="1:27" x14ac:dyDescent="0.2">
      <c r="K31" s="8"/>
      <c r="L31" s="8"/>
      <c r="M31" s="8"/>
      <c r="N31" s="8"/>
      <c r="O31" s="8"/>
      <c r="P31" s="8"/>
      <c r="Q31" s="8"/>
    </row>
    <row r="32" spans="1:27" x14ac:dyDescent="0.2">
      <c r="K32" s="8"/>
      <c r="L32" s="8"/>
      <c r="M32" s="8"/>
      <c r="N32" s="8"/>
      <c r="O32" s="8"/>
      <c r="P32" s="8"/>
      <c r="Q32" s="8"/>
    </row>
    <row r="33" spans="2:17" x14ac:dyDescent="0.2">
      <c r="B33" s="26"/>
      <c r="K33" s="8"/>
      <c r="L33" s="8"/>
      <c r="M33" s="8"/>
      <c r="N33" s="8"/>
      <c r="O33" s="8"/>
      <c r="P33" s="8"/>
      <c r="Q33" s="8"/>
    </row>
    <row r="34" spans="2:17" x14ac:dyDescent="0.2">
      <c r="K34" s="8"/>
      <c r="L34" s="8"/>
      <c r="M34" s="8"/>
      <c r="N34" s="8"/>
      <c r="O34" s="8"/>
      <c r="P34" s="8"/>
      <c r="Q34" s="8"/>
    </row>
    <row r="35" spans="2:17" x14ac:dyDescent="0.2">
      <c r="K35" s="8"/>
      <c r="L35" s="8"/>
      <c r="M35" s="8"/>
      <c r="N35" s="8"/>
      <c r="O35" s="8"/>
      <c r="P35" s="8"/>
      <c r="Q35" s="8"/>
    </row>
    <row r="36" spans="2:17" x14ac:dyDescent="0.2">
      <c r="K36" s="8"/>
      <c r="L36" s="8"/>
      <c r="M36" s="8"/>
      <c r="N36" s="8"/>
      <c r="O36" s="8"/>
      <c r="P36" s="8"/>
      <c r="Q36" s="8"/>
    </row>
    <row r="37" spans="2:17" x14ac:dyDescent="0.2">
      <c r="K37" s="8"/>
      <c r="L37" s="8"/>
      <c r="M37" s="8"/>
      <c r="N37" s="8"/>
      <c r="O37" s="8"/>
      <c r="P37" s="8"/>
      <c r="Q37" s="8"/>
    </row>
    <row r="38" spans="2:17" x14ac:dyDescent="0.2">
      <c r="K38" s="8"/>
      <c r="L38" s="8"/>
      <c r="M38" s="8"/>
      <c r="N38" s="8"/>
      <c r="O38" s="8"/>
      <c r="P38" s="8"/>
      <c r="Q38" s="8"/>
    </row>
    <row r="39" spans="2:17" x14ac:dyDescent="0.2">
      <c r="K39" s="8"/>
      <c r="L39" s="8"/>
      <c r="M39" s="8"/>
      <c r="N39" s="8"/>
      <c r="O39" s="8"/>
      <c r="P39" s="8"/>
      <c r="Q39" s="8"/>
    </row>
    <row r="40" spans="2:17" x14ac:dyDescent="0.2">
      <c r="K40" s="8"/>
      <c r="L40" s="8"/>
      <c r="M40" s="8"/>
      <c r="N40" s="8"/>
      <c r="O40" s="8"/>
      <c r="P40" s="8"/>
      <c r="Q40" s="8"/>
    </row>
    <row r="41" spans="2:17" x14ac:dyDescent="0.2">
      <c r="K41" s="8"/>
      <c r="L41" s="8"/>
      <c r="M41" s="8"/>
      <c r="N41" s="8"/>
      <c r="O41" s="8"/>
      <c r="P41" s="8"/>
      <c r="Q41" s="8"/>
    </row>
    <row r="42" spans="2:17" x14ac:dyDescent="0.2">
      <c r="K42" s="8"/>
      <c r="L42" s="8"/>
      <c r="M42" s="8"/>
      <c r="N42" s="8"/>
      <c r="O42" s="8"/>
      <c r="P42" s="8"/>
      <c r="Q42" s="8"/>
    </row>
  </sheetData>
  <pageMargins left="0.7" right="0.7"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theme="3"/>
    <pageSetUpPr fitToPage="1"/>
  </sheetPr>
  <dimension ref="A1:T35"/>
  <sheetViews>
    <sheetView showGridLines="0" zoomScale="80" zoomScaleNormal="80" workbookViewId="0">
      <pane xSplit="7" ySplit="5" topLeftCell="H6" activePane="bottomRight" state="frozen"/>
      <selection pane="topRight" activeCell="H1" sqref="H1"/>
      <selection pane="bottomLeft" activeCell="A6" sqref="A6"/>
      <selection pane="bottomRight" activeCell="H6" sqref="H6"/>
    </sheetView>
  </sheetViews>
  <sheetFormatPr defaultColWidth="9" defaultRowHeight="12.75" x14ac:dyDescent="0.2"/>
  <cols>
    <col min="1" max="1" width="3.125" style="1" customWidth="1"/>
    <col min="2" max="2" width="8.5" style="1" customWidth="1"/>
    <col min="3" max="3" width="5.875" style="46" customWidth="1"/>
    <col min="4" max="4" width="9.5" style="1" customWidth="1"/>
    <col min="5" max="5" width="4.5" style="1" customWidth="1"/>
    <col min="6" max="6" width="6.75" style="1" customWidth="1"/>
    <col min="7" max="7" width="17.625" style="1" customWidth="1"/>
    <col min="8" max="9" width="2.5" style="1" customWidth="1"/>
    <col min="10" max="12" width="9" style="1" customWidth="1"/>
    <col min="13" max="17" width="10.25" style="1" customWidth="1"/>
    <col min="18" max="18" width="2.375" style="1" customWidth="1"/>
    <col min="19" max="20" width="9" style="1"/>
    <col min="21" max="21" width="9.625" style="1" bestFit="1" customWidth="1"/>
    <col min="22" max="16384" width="9" style="1"/>
  </cols>
  <sheetData>
    <row r="1" spans="1:20" ht="21" x14ac:dyDescent="0.35">
      <c r="A1" s="3" t="s">
        <v>50</v>
      </c>
    </row>
    <row r="2" spans="1:20" ht="18.75" x14ac:dyDescent="0.3">
      <c r="A2" s="7" t="str">
        <f ca="1">RIGHT(CELL("filename",A1),LEN(CELL("filename",A1))-FIND("]",CELL("filename",A1),1))</f>
        <v>Summary</v>
      </c>
      <c r="P2" s="19"/>
    </row>
    <row r="3" spans="1:20" x14ac:dyDescent="0.2">
      <c r="A3" s="34" t="s">
        <v>44</v>
      </c>
      <c r="M3" s="65" t="str">
        <f>SUBSTITUTE(ADDRESS(1,COLUMN(M5),4),"1","")</f>
        <v>M</v>
      </c>
      <c r="N3" s="65" t="str">
        <f>SUBSTITUTE(ADDRESS(1,COLUMN(N5),4),"1","")</f>
        <v>N</v>
      </c>
      <c r="O3" s="65" t="str">
        <f>SUBSTITUTE(ADDRESS(1,COLUMN(O5),4),"1","")</f>
        <v>O</v>
      </c>
      <c r="P3" s="65" t="str">
        <f>SUBSTITUTE(ADDRESS(1,COLUMN(P5),4),"1","")</f>
        <v>P</v>
      </c>
      <c r="Q3" s="65" t="str">
        <f>SUBSTITUTE(ADDRESS(1,COLUMN(Q5),4),"1","")</f>
        <v>Q</v>
      </c>
    </row>
    <row r="4" spans="1:20" x14ac:dyDescent="0.2">
      <c r="L4" s="30"/>
      <c r="M4" s="30"/>
      <c r="N4" s="30"/>
      <c r="O4" s="30"/>
      <c r="P4" s="30"/>
      <c r="Q4" s="30"/>
    </row>
    <row r="5" spans="1:20" x14ac:dyDescent="0.2">
      <c r="A5" s="49"/>
      <c r="B5" s="49" t="s">
        <v>3</v>
      </c>
      <c r="C5" s="66" t="s">
        <v>43</v>
      </c>
      <c r="D5" s="49" t="s">
        <v>45</v>
      </c>
      <c r="E5" s="49"/>
      <c r="F5" s="49" t="s">
        <v>46</v>
      </c>
      <c r="G5" s="49"/>
      <c r="H5" s="49" t="s">
        <v>47</v>
      </c>
      <c r="I5" s="49"/>
      <c r="J5" s="49"/>
      <c r="K5" s="2"/>
      <c r="L5" s="6"/>
      <c r="M5" s="6" t="s">
        <v>17</v>
      </c>
      <c r="N5" s="6" t="s">
        <v>18</v>
      </c>
      <c r="O5" s="6" t="s">
        <v>19</v>
      </c>
      <c r="P5" s="6" t="s">
        <v>20</v>
      </c>
      <c r="Q5" s="6" t="s">
        <v>21</v>
      </c>
      <c r="S5" s="6" t="s">
        <v>30</v>
      </c>
    </row>
    <row r="7" spans="1:20" x14ac:dyDescent="0.2">
      <c r="B7" s="28" t="s">
        <v>7</v>
      </c>
      <c r="C7" s="75">
        <f ca="1">RANK(S7, $S$7:$S$10, 0)</f>
        <v>3</v>
      </c>
      <c r="D7" s="28" t="str">
        <f t="shared" ref="D7:D10" ca="1" si="0">B7&amp;C7</f>
        <v>CitiPower3</v>
      </c>
      <c r="F7" s="1" t="str">
        <f ca="1">'5 minute settlement'!$A2</f>
        <v>5 minute settlement</v>
      </c>
      <c r="H7" s="1" t="str">
        <f>'5 minute settlement'!$A3</f>
        <v>5 minute settlement</v>
      </c>
      <c r="M7" s="8">
        <f t="shared" ref="M7:Q10" ca="1" si="1">INDEX(INDIRECT("'"&amp;$F7&amp;"'!"&amp;M$3&amp;":"&amp;M$3), MATCH($B7&amp;" "&amp;$F7, INDIRECT("'"&amp;$F7&amp;"'!b:b"), 0))</f>
        <v>199.82383599850812</v>
      </c>
      <c r="N7" s="8">
        <f t="shared" ca="1" si="1"/>
        <v>279.04208500876911</v>
      </c>
      <c r="O7" s="8">
        <f t="shared" ca="1" si="1"/>
        <v>354.39604680446604</v>
      </c>
      <c r="P7" s="8">
        <f t="shared" ca="1" si="1"/>
        <v>432.08638096355151</v>
      </c>
      <c r="Q7" s="8">
        <f t="shared" ca="1" si="1"/>
        <v>514.99211359167089</v>
      </c>
      <c r="S7" s="9">
        <f t="shared" ref="S7:S10" ca="1" si="2">SUM(M7:Q7)</f>
        <v>1780.3404623669655</v>
      </c>
      <c r="T7" s="24"/>
    </row>
    <row r="8" spans="1:20" x14ac:dyDescent="0.2">
      <c r="B8" s="28" t="s">
        <v>7</v>
      </c>
      <c r="C8" s="75">
        <f ca="1">RANK(S8, $S$7:$S$10, 0)</f>
        <v>1</v>
      </c>
      <c r="D8" s="28" t="str">
        <f t="shared" ca="1" si="0"/>
        <v>CitiPower1</v>
      </c>
      <c r="F8" s="1" t="str">
        <f ca="1">'Security of Critical Infr'!$A2</f>
        <v>Security of Critical Infr</v>
      </c>
      <c r="H8" s="1" t="str">
        <f>'Security of Critical Infr'!$A3</f>
        <v>Security of Critical Infrastructure</v>
      </c>
      <c r="M8" s="8">
        <f t="shared" ca="1" si="1"/>
        <v>2416.1422739717573</v>
      </c>
      <c r="N8" s="8">
        <f t="shared" ca="1" si="1"/>
        <v>1709.7629208919104</v>
      </c>
      <c r="O8" s="8">
        <f t="shared" ca="1" si="1"/>
        <v>1652.8670470000197</v>
      </c>
      <c r="P8" s="8">
        <f t="shared" ca="1" si="1"/>
        <v>1534.3399241136399</v>
      </c>
      <c r="Q8" s="8">
        <f t="shared" ca="1" si="1"/>
        <v>1546.2167137960173</v>
      </c>
      <c r="S8" s="9">
        <f t="shared" ca="1" si="2"/>
        <v>8859.3288797733439</v>
      </c>
      <c r="T8" s="24"/>
    </row>
    <row r="9" spans="1:20" x14ac:dyDescent="0.2">
      <c r="B9" s="28" t="s">
        <v>7</v>
      </c>
      <c r="C9" s="75">
        <f ca="1">RANK(S9, $S$7:$S$10, 0)</f>
        <v>4</v>
      </c>
      <c r="D9" s="28" t="str">
        <f t="shared" ca="1" si="0"/>
        <v>CitiPower4</v>
      </c>
      <c r="F9" s="1" t="str">
        <f>'Solar enablement'!$A2</f>
        <v>Solar enablement</v>
      </c>
      <c r="H9" s="12" t="str">
        <f>'Solar enablement'!$A3</f>
        <v>Solar enablement</v>
      </c>
      <c r="M9" s="8">
        <f t="shared" ca="1" si="1"/>
        <v>300.00707496957801</v>
      </c>
      <c r="N9" s="8">
        <f t="shared" ca="1" si="1"/>
        <v>229.72823369127383</v>
      </c>
      <c r="O9" s="8">
        <f t="shared" ca="1" si="1"/>
        <v>269.05407105684708</v>
      </c>
      <c r="P9" s="8">
        <f t="shared" ca="1" si="1"/>
        <v>123.7356354804444</v>
      </c>
      <c r="Q9" s="8">
        <f t="shared" ca="1" si="1"/>
        <v>113.27021731253713</v>
      </c>
      <c r="S9" s="9">
        <f t="shared" ca="1" si="2"/>
        <v>1035.7952325106805</v>
      </c>
      <c r="T9" s="24"/>
    </row>
    <row r="10" spans="1:20" x14ac:dyDescent="0.2">
      <c r="B10" s="28" t="s">
        <v>7</v>
      </c>
      <c r="C10" s="75">
        <f ca="1">RANK(S10, $S$7:$S$10, 0)</f>
        <v>2</v>
      </c>
      <c r="D10" s="28" t="str">
        <f t="shared" ca="1" si="0"/>
        <v>CitiPower2</v>
      </c>
      <c r="F10" s="1" t="str">
        <f ca="1">'IT cloud solutions'!$A2</f>
        <v>IT cloud solutions</v>
      </c>
      <c r="H10" s="12" t="str">
        <f>'IT cloud solutions'!$A3</f>
        <v>IT cloud solutions</v>
      </c>
      <c r="M10" s="8">
        <f t="shared" ca="1" si="1"/>
        <v>328.71750538357384</v>
      </c>
      <c r="N10" s="8">
        <f t="shared" ca="1" si="1"/>
        <v>325.26745328975403</v>
      </c>
      <c r="O10" s="8">
        <f t="shared" ca="1" si="1"/>
        <v>465.33680282477314</v>
      </c>
      <c r="P10" s="8">
        <f t="shared" ca="1" si="1"/>
        <v>552.27811197175049</v>
      </c>
      <c r="Q10" s="8">
        <f t="shared" ca="1" si="1"/>
        <v>550.2878325506822</v>
      </c>
      <c r="S10" s="9">
        <f t="shared" ca="1" si="2"/>
        <v>2221.8877060205336</v>
      </c>
    </row>
    <row r="11" spans="1:20" x14ac:dyDescent="0.2">
      <c r="B11" s="28"/>
      <c r="C11" s="75"/>
      <c r="D11" s="28"/>
      <c r="H11" s="12"/>
      <c r="M11" s="8"/>
      <c r="N11" s="8"/>
      <c r="O11" s="8"/>
      <c r="P11" s="8"/>
      <c r="Q11" s="8"/>
      <c r="S11" s="9"/>
    </row>
    <row r="12" spans="1:20" x14ac:dyDescent="0.2">
      <c r="B12" s="28"/>
      <c r="C12" s="75"/>
      <c r="D12" s="28"/>
      <c r="H12" s="12"/>
      <c r="M12" s="8"/>
      <c r="N12" s="8"/>
      <c r="O12" s="8"/>
      <c r="P12" s="8"/>
      <c r="Q12" s="8"/>
      <c r="S12" s="9"/>
    </row>
    <row r="13" spans="1:20" x14ac:dyDescent="0.2">
      <c r="B13" s="28"/>
      <c r="C13" s="75"/>
      <c r="D13" s="28"/>
      <c r="H13" s="12"/>
      <c r="M13" s="8"/>
      <c r="N13" s="8"/>
      <c r="O13" s="8"/>
      <c r="P13" s="8"/>
      <c r="Q13" s="8"/>
      <c r="S13" s="9"/>
    </row>
    <row r="15" spans="1:20" x14ac:dyDescent="0.2">
      <c r="M15" s="15"/>
      <c r="N15" s="15"/>
      <c r="O15" s="15"/>
      <c r="P15" s="15"/>
      <c r="Q15" s="15"/>
      <c r="S15" s="15"/>
    </row>
    <row r="16" spans="1:20" ht="13.5" thickBot="1" x14ac:dyDescent="0.25">
      <c r="F16" s="20" t="s">
        <v>5</v>
      </c>
      <c r="G16" s="20"/>
      <c r="H16" s="20"/>
      <c r="I16" s="20"/>
      <c r="J16" s="20"/>
      <c r="K16" s="20"/>
      <c r="L16" s="20"/>
      <c r="M16" s="20">
        <f ca="1">SUM(M7:M15)</f>
        <v>3244.6906903234171</v>
      </c>
      <c r="N16" s="20">
        <f ca="1">SUM(N7:N15)</f>
        <v>2543.8006928817076</v>
      </c>
      <c r="O16" s="20">
        <f ca="1">SUM(O7:O15)</f>
        <v>2741.6539676861062</v>
      </c>
      <c r="P16" s="20">
        <f ca="1">SUM(P7:P15)</f>
        <v>2642.4400525293863</v>
      </c>
      <c r="Q16" s="20">
        <f ca="1">SUM(Q7:Q15)</f>
        <v>2724.7668772509073</v>
      </c>
      <c r="S16" s="20">
        <f ca="1">SUM(S7:S15)</f>
        <v>13897.352280671523</v>
      </c>
    </row>
    <row r="17" spans="2:19" ht="13.5" thickTop="1" x14ac:dyDescent="0.2">
      <c r="F17" s="28" t="s">
        <v>48</v>
      </c>
      <c r="G17" s="28"/>
      <c r="H17" s="28"/>
      <c r="I17" s="28"/>
      <c r="J17" s="28"/>
      <c r="K17" s="28"/>
      <c r="L17" s="28"/>
      <c r="M17" s="28"/>
      <c r="N17" s="28"/>
      <c r="O17" s="28"/>
      <c r="P17" s="28"/>
      <c r="Q17" s="28"/>
      <c r="R17" s="28"/>
      <c r="S17" s="76">
        <f ca="1">COUNT(S7:S10)-COUNTIF(S7:S10, 0)</f>
        <v>4</v>
      </c>
    </row>
    <row r="18" spans="2:19" x14ac:dyDescent="0.2">
      <c r="B18"/>
      <c r="C18" s="67"/>
      <c r="D18"/>
      <c r="E18"/>
    </row>
    <row r="19" spans="2:19" x14ac:dyDescent="0.2">
      <c r="B19"/>
      <c r="C19" s="67"/>
      <c r="D19"/>
      <c r="E19"/>
    </row>
    <row r="20" spans="2:19" x14ac:dyDescent="0.2">
      <c r="B20"/>
      <c r="C20" s="67"/>
      <c r="D20"/>
      <c r="E20"/>
    </row>
    <row r="21" spans="2:19" x14ac:dyDescent="0.2">
      <c r="B21"/>
      <c r="C21" s="67"/>
      <c r="D21"/>
      <c r="E21"/>
      <c r="M21" s="8"/>
      <c r="N21" s="8"/>
      <c r="O21" s="8"/>
      <c r="P21" s="8"/>
      <c r="Q21" s="8"/>
    </row>
    <row r="22" spans="2:19" x14ac:dyDescent="0.2">
      <c r="B22"/>
      <c r="C22" s="67"/>
      <c r="D22"/>
      <c r="E22"/>
      <c r="M22" s="8"/>
      <c r="N22" s="8"/>
      <c r="O22" s="8"/>
      <c r="P22" s="8"/>
      <c r="Q22" s="8"/>
    </row>
    <row r="23" spans="2:19" x14ac:dyDescent="0.2">
      <c r="B23"/>
      <c r="C23" s="67"/>
      <c r="D23"/>
      <c r="E23"/>
      <c r="M23" s="8"/>
      <c r="N23" s="8"/>
      <c r="O23" s="8"/>
      <c r="P23" s="8"/>
      <c r="Q23" s="8"/>
    </row>
    <row r="24" spans="2:19" x14ac:dyDescent="0.2">
      <c r="M24" s="8"/>
      <c r="N24" s="8"/>
      <c r="O24" s="8"/>
      <c r="P24" s="8"/>
      <c r="Q24" s="8"/>
    </row>
    <row r="25" spans="2:19" x14ac:dyDescent="0.2">
      <c r="M25" s="8"/>
      <c r="N25" s="8"/>
      <c r="O25" s="8"/>
      <c r="P25" s="8"/>
      <c r="Q25" s="8"/>
    </row>
    <row r="26" spans="2:19" x14ac:dyDescent="0.2">
      <c r="M26" s="8"/>
      <c r="N26" s="8"/>
      <c r="O26" s="8"/>
      <c r="P26" s="8"/>
      <c r="Q26" s="8"/>
    </row>
    <row r="27" spans="2:19" x14ac:dyDescent="0.2">
      <c r="M27" s="8"/>
      <c r="N27" s="8"/>
      <c r="O27" s="8"/>
      <c r="P27" s="8"/>
      <c r="Q27" s="8"/>
    </row>
    <row r="28" spans="2:19" x14ac:dyDescent="0.2">
      <c r="M28" s="8"/>
      <c r="N28" s="8"/>
      <c r="O28" s="8"/>
      <c r="P28" s="8"/>
      <c r="Q28" s="8"/>
    </row>
    <row r="29" spans="2:19" x14ac:dyDescent="0.2">
      <c r="M29" s="8"/>
      <c r="N29" s="8"/>
      <c r="O29" s="8"/>
      <c r="P29" s="8"/>
      <c r="Q29" s="8"/>
    </row>
    <row r="30" spans="2:19" x14ac:dyDescent="0.2">
      <c r="M30" s="8"/>
      <c r="N30" s="8"/>
      <c r="O30" s="8"/>
      <c r="P30" s="8"/>
      <c r="Q30" s="8"/>
    </row>
    <row r="31" spans="2:19" x14ac:dyDescent="0.2">
      <c r="M31" s="8"/>
      <c r="N31" s="8"/>
      <c r="O31" s="8"/>
      <c r="P31" s="8"/>
      <c r="Q31" s="8"/>
    </row>
    <row r="32" spans="2:19" x14ac:dyDescent="0.2">
      <c r="M32" s="8"/>
      <c r="N32" s="8"/>
      <c r="O32" s="8"/>
      <c r="P32" s="8"/>
      <c r="Q32" s="8"/>
    </row>
    <row r="33" spans="13:17" x14ac:dyDescent="0.2">
      <c r="M33" s="8"/>
      <c r="N33" s="8"/>
      <c r="O33" s="8"/>
      <c r="P33" s="8"/>
      <c r="Q33" s="8"/>
    </row>
    <row r="34" spans="13:17" x14ac:dyDescent="0.2">
      <c r="M34" s="8"/>
      <c r="N34" s="8"/>
      <c r="O34" s="8"/>
      <c r="P34" s="8"/>
      <c r="Q34" s="8"/>
    </row>
    <row r="35" spans="13:17" x14ac:dyDescent="0.2">
      <c r="M35" s="8"/>
      <c r="N35" s="8"/>
      <c r="O35" s="8"/>
      <c r="P35" s="8"/>
      <c r="Q35" s="8"/>
    </row>
  </sheetData>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CC"/>
  </sheetPr>
  <dimension ref="A1:T39"/>
  <sheetViews>
    <sheetView showGridLines="0" tabSelected="1" zoomScale="80" zoomScaleNormal="80" workbookViewId="0">
      <pane xSplit="2" ySplit="2" topLeftCell="C3" activePane="bottomRight" state="frozen"/>
      <selection pane="topRight" activeCell="C1" sqref="C1"/>
      <selection pane="bottomLeft" activeCell="A3" sqref="A3"/>
      <selection pane="bottomRight" activeCell="C3" sqref="C3"/>
    </sheetView>
  </sheetViews>
  <sheetFormatPr defaultColWidth="9" defaultRowHeight="12.75" x14ac:dyDescent="0.2"/>
  <cols>
    <col min="1" max="1" width="2" style="1" customWidth="1"/>
    <col min="2" max="2" width="33.125" style="1" customWidth="1"/>
    <col min="3" max="3" width="10.5" style="1" customWidth="1"/>
    <col min="4" max="4" width="9" style="1"/>
    <col min="5" max="5" width="9.25" style="1" customWidth="1"/>
    <col min="6" max="6" width="8.5" style="1" customWidth="1"/>
    <col min="7" max="18" width="8.375" style="1" customWidth="1"/>
    <col min="19" max="16384" width="9" style="1"/>
  </cols>
  <sheetData>
    <row r="1" spans="1:18" ht="21" x14ac:dyDescent="0.35">
      <c r="A1" s="3" t="s">
        <v>4</v>
      </c>
      <c r="H1" s="128" t="s">
        <v>99</v>
      </c>
      <c r="I1" s="123" t="s">
        <v>100</v>
      </c>
    </row>
    <row r="2" spans="1:18" ht="18.75" x14ac:dyDescent="0.3">
      <c r="A2" s="7" t="str">
        <f ca="1">RIGHT(CELL("filename",A1),LEN(CELL("filename",A1))-FIND("]",CELL("filename",A1),1))</f>
        <v>Assumptions</v>
      </c>
      <c r="L2" s="30"/>
      <c r="M2" s="30"/>
      <c r="N2" s="30"/>
      <c r="O2" s="30"/>
      <c r="P2" s="30"/>
      <c r="Q2" s="30"/>
      <c r="R2" s="30"/>
    </row>
    <row r="4" spans="1:18" x14ac:dyDescent="0.2">
      <c r="A4" s="2" t="s">
        <v>2</v>
      </c>
      <c r="B4" s="2"/>
      <c r="C4" s="2"/>
      <c r="D4" s="2"/>
      <c r="E4" s="2"/>
      <c r="F4" s="2"/>
      <c r="G4" s="2"/>
      <c r="H4" s="2"/>
      <c r="I4" s="2"/>
      <c r="J4" s="2"/>
      <c r="K4" s="2"/>
      <c r="L4" s="2"/>
      <c r="M4" s="2"/>
      <c r="N4" s="2"/>
      <c r="O4" s="2"/>
      <c r="P4" s="2"/>
      <c r="Q4" s="2"/>
      <c r="R4" s="2"/>
    </row>
    <row r="6" spans="1:18" x14ac:dyDescent="0.2">
      <c r="B6" s="45" t="s">
        <v>36</v>
      </c>
    </row>
    <row r="11" spans="1:18" x14ac:dyDescent="0.2">
      <c r="B11" s="1" t="s">
        <v>39</v>
      </c>
      <c r="D11" s="70">
        <v>0.5</v>
      </c>
    </row>
    <row r="12" spans="1:18" x14ac:dyDescent="0.2">
      <c r="B12" s="1" t="s">
        <v>40</v>
      </c>
      <c r="D12" s="42">
        <f>1-CP_cost_split</f>
        <v>0.5</v>
      </c>
    </row>
    <row r="13" spans="1:18" x14ac:dyDescent="0.2">
      <c r="B13" s="1" t="s">
        <v>14</v>
      </c>
      <c r="D13" s="69" t="s">
        <v>16</v>
      </c>
    </row>
    <row r="14" spans="1:18" x14ac:dyDescent="0.2">
      <c r="B14" s="1" t="s">
        <v>35</v>
      </c>
      <c r="D14" s="69">
        <v>2019</v>
      </c>
    </row>
    <row r="15" spans="1:18" x14ac:dyDescent="0.2">
      <c r="D15" s="69"/>
    </row>
    <row r="17" spans="1:20" x14ac:dyDescent="0.2">
      <c r="A17" s="2" t="s">
        <v>1</v>
      </c>
      <c r="B17" s="2"/>
      <c r="C17" s="2"/>
      <c r="D17" s="2"/>
      <c r="E17" s="2"/>
      <c r="F17" s="2"/>
      <c r="G17" s="2">
        <v>2015</v>
      </c>
      <c r="H17" s="2">
        <f>G17+1</f>
        <v>2016</v>
      </c>
      <c r="I17" s="2">
        <f>H17+1</f>
        <v>2017</v>
      </c>
      <c r="J17" s="2">
        <f>I17+1</f>
        <v>2018</v>
      </c>
      <c r="K17" s="2">
        <v>2019</v>
      </c>
      <c r="L17" s="2">
        <v>2020</v>
      </c>
      <c r="M17" s="6" t="s">
        <v>16</v>
      </c>
    </row>
    <row r="19" spans="1:20" s="12" customFormat="1" x14ac:dyDescent="0.2">
      <c r="B19" s="1" t="s">
        <v>65</v>
      </c>
      <c r="F19" s="14"/>
      <c r="G19" s="130">
        <v>1.0961500442225942</v>
      </c>
      <c r="H19" s="130">
        <v>1.0790765766629278</v>
      </c>
      <c r="I19" s="130">
        <v>1.061119022886448</v>
      </c>
      <c r="J19" s="130">
        <v>1.0418798063797183</v>
      </c>
      <c r="K19" s="130">
        <v>1.0233339039577956</v>
      </c>
      <c r="L19" s="130">
        <v>1.0077657751950859</v>
      </c>
      <c r="M19" s="130">
        <v>1.0007625489781908</v>
      </c>
      <c r="N19" s="1"/>
      <c r="O19" s="1"/>
      <c r="P19" s="1"/>
      <c r="Q19" s="1"/>
      <c r="R19" s="1"/>
      <c r="S19" s="1"/>
    </row>
    <row r="20" spans="1:20" s="12" customFormat="1" x14ac:dyDescent="0.2">
      <c r="B20" s="1"/>
      <c r="F20" s="14"/>
      <c r="G20" s="14"/>
      <c r="H20" s="14"/>
      <c r="I20" s="14"/>
      <c r="J20" s="14"/>
      <c r="K20" s="14"/>
      <c r="L20" s="14"/>
      <c r="M20" s="14"/>
      <c r="N20" s="1"/>
      <c r="O20" s="1"/>
      <c r="P20" s="1"/>
      <c r="Q20" s="1"/>
      <c r="R20" s="1"/>
      <c r="S20" s="1"/>
    </row>
    <row r="21" spans="1:20" x14ac:dyDescent="0.2">
      <c r="G21" s="8"/>
    </row>
    <row r="22" spans="1:20" x14ac:dyDescent="0.2">
      <c r="A22" s="49" t="s">
        <v>62</v>
      </c>
      <c r="B22" s="49"/>
      <c r="C22" s="49"/>
      <c r="D22" s="49"/>
      <c r="E22" s="49"/>
      <c r="F22" s="49"/>
      <c r="G22" s="2"/>
      <c r="H22" s="2"/>
      <c r="I22" s="2"/>
      <c r="J22" s="2"/>
      <c r="K22" s="2"/>
      <c r="L22" s="6"/>
      <c r="M22" s="6"/>
      <c r="N22" s="6"/>
      <c r="O22" s="6"/>
      <c r="P22" s="6"/>
      <c r="Q22" s="6"/>
      <c r="R22" s="6"/>
    </row>
    <row r="24" spans="1:20" x14ac:dyDescent="0.2">
      <c r="B24" s="1" t="s">
        <v>63</v>
      </c>
      <c r="C24" s="34" t="s">
        <v>54</v>
      </c>
      <c r="F24" s="131">
        <v>0.28352304972360076</v>
      </c>
      <c r="G24" s="8"/>
      <c r="H24" s="8"/>
      <c r="I24" s="8"/>
      <c r="J24" s="8"/>
      <c r="K24" s="8"/>
      <c r="L24" s="8"/>
      <c r="M24" s="8"/>
      <c r="N24" s="8"/>
      <c r="O24" s="8"/>
      <c r="P24" s="8"/>
      <c r="Q24" s="8"/>
      <c r="R24" s="8"/>
      <c r="S24" s="8"/>
      <c r="T24" s="8"/>
    </row>
    <row r="25" spans="1:20" x14ac:dyDescent="0.2">
      <c r="B25" s="1" t="s">
        <v>64</v>
      </c>
      <c r="C25" s="34" t="s">
        <v>54</v>
      </c>
      <c r="F25" s="131">
        <v>0.71647695027639924</v>
      </c>
      <c r="G25" s="8"/>
      <c r="H25" s="8"/>
      <c r="I25" s="8"/>
      <c r="J25" s="8"/>
      <c r="K25" s="8"/>
      <c r="L25" s="8"/>
      <c r="M25" s="8"/>
      <c r="N25" s="8"/>
      <c r="O25" s="8"/>
      <c r="P25" s="8"/>
      <c r="Q25" s="8"/>
      <c r="R25" s="8"/>
      <c r="S25" s="8"/>
      <c r="T25" s="8"/>
    </row>
    <row r="26" spans="1:20" x14ac:dyDescent="0.2">
      <c r="G26" s="8"/>
      <c r="H26" s="8"/>
      <c r="I26" s="8"/>
      <c r="J26" s="8"/>
      <c r="K26" s="8"/>
      <c r="L26" s="8"/>
      <c r="M26" s="8"/>
      <c r="N26" s="8"/>
      <c r="O26" s="8"/>
      <c r="P26" s="8"/>
      <c r="Q26" s="8"/>
      <c r="R26" s="8"/>
    </row>
    <row r="27" spans="1:20" x14ac:dyDescent="0.2">
      <c r="A27" s="2" t="s">
        <v>51</v>
      </c>
      <c r="B27" s="49"/>
      <c r="C27" s="49"/>
      <c r="D27" s="49"/>
      <c r="E27" s="49"/>
      <c r="F27" s="49"/>
      <c r="G27" s="2"/>
      <c r="H27" s="2"/>
      <c r="I27" s="2"/>
      <c r="J27" s="2"/>
      <c r="K27" s="2"/>
      <c r="L27" s="6" t="s">
        <v>15</v>
      </c>
      <c r="M27" s="6" t="s">
        <v>16</v>
      </c>
      <c r="N27" s="6" t="s">
        <v>17</v>
      </c>
      <c r="O27" s="6" t="s">
        <v>18</v>
      </c>
      <c r="P27" s="6" t="s">
        <v>19</v>
      </c>
      <c r="Q27" s="6" t="s">
        <v>20</v>
      </c>
      <c r="R27" s="6" t="s">
        <v>21</v>
      </c>
    </row>
    <row r="28" spans="1:20" x14ac:dyDescent="0.2">
      <c r="G28" s="8"/>
      <c r="H28" s="8"/>
      <c r="I28" s="8"/>
      <c r="J28" s="8"/>
      <c r="K28" s="8"/>
      <c r="L28" s="8"/>
      <c r="M28" s="8"/>
      <c r="N28" s="8"/>
      <c r="O28" s="8"/>
      <c r="P28" s="8"/>
      <c r="Q28" s="8"/>
      <c r="R28" s="8"/>
    </row>
    <row r="29" spans="1:20" x14ac:dyDescent="0.2">
      <c r="B29" s="4" t="s">
        <v>55</v>
      </c>
      <c r="K29" s="8"/>
      <c r="L29" s="8"/>
      <c r="M29" s="8"/>
      <c r="N29" s="8"/>
      <c r="O29" s="8"/>
      <c r="P29" s="8"/>
      <c r="Q29" s="8"/>
      <c r="R29" s="8"/>
    </row>
    <row r="30" spans="1:20" x14ac:dyDescent="0.2">
      <c r="B30" s="25" t="s">
        <v>56</v>
      </c>
      <c r="C30" s="25"/>
      <c r="D30" s="25"/>
      <c r="E30" s="25"/>
      <c r="F30" s="25"/>
      <c r="G30" s="25"/>
      <c r="H30" s="25"/>
      <c r="I30" s="25"/>
      <c r="J30" s="25"/>
      <c r="K30" s="27"/>
      <c r="L30" s="27"/>
      <c r="M30" s="27"/>
      <c r="N30" s="127">
        <f>'[1]Input|Rate of change'!Q$40</f>
        <v>7.762137192630263E-3</v>
      </c>
      <c r="O30" s="127">
        <f>'[1]Input|Rate of change'!R$40</f>
        <v>4.9608934391037352E-3</v>
      </c>
      <c r="P30" s="127">
        <f>'[1]Input|Rate of change'!S$40</f>
        <v>6.512577699459102E-3</v>
      </c>
      <c r="Q30" s="127">
        <f>'[1]Input|Rate of change'!T$40</f>
        <v>9.9346404822831889E-3</v>
      </c>
      <c r="R30" s="127">
        <f>'[1]Input|Rate of change'!U$40</f>
        <v>1.3075423782207421E-2</v>
      </c>
    </row>
    <row r="31" spans="1:20" x14ac:dyDescent="0.2">
      <c r="B31" s="25" t="s">
        <v>57</v>
      </c>
      <c r="C31" s="25"/>
      <c r="D31" s="25"/>
      <c r="E31" s="25"/>
      <c r="F31" s="25"/>
      <c r="G31" s="25"/>
      <c r="H31" s="25"/>
      <c r="I31" s="25"/>
      <c r="J31" s="25"/>
      <c r="K31" s="25"/>
      <c r="L31" s="25"/>
      <c r="M31" s="25"/>
      <c r="N31" s="77">
        <v>0</v>
      </c>
      <c r="O31" s="77">
        <v>0</v>
      </c>
      <c r="P31" s="77">
        <v>0</v>
      </c>
      <c r="Q31" s="77">
        <v>0</v>
      </c>
      <c r="R31" s="77">
        <v>0</v>
      </c>
      <c r="S31" s="25"/>
    </row>
    <row r="32" spans="1:20" x14ac:dyDescent="0.2">
      <c r="B32" s="25"/>
      <c r="C32" s="25"/>
      <c r="D32" s="25"/>
      <c r="E32" s="25"/>
      <c r="F32" s="25"/>
      <c r="G32" s="25"/>
      <c r="H32" s="25"/>
      <c r="I32" s="25"/>
      <c r="J32" s="25"/>
      <c r="K32" s="25"/>
      <c r="L32" s="25"/>
      <c r="M32" s="25"/>
      <c r="N32" s="25"/>
      <c r="O32" s="25"/>
      <c r="P32" s="25"/>
      <c r="Q32" s="25"/>
      <c r="R32" s="25"/>
      <c r="S32" s="25"/>
    </row>
    <row r="33" spans="2:19" x14ac:dyDescent="0.2">
      <c r="B33" s="78" t="s">
        <v>58</v>
      </c>
      <c r="C33" s="25"/>
      <c r="D33" s="25"/>
      <c r="E33" s="25"/>
      <c r="F33" s="25"/>
      <c r="G33" s="25"/>
      <c r="H33" s="25"/>
      <c r="I33" s="25"/>
      <c r="J33" s="25"/>
      <c r="K33" s="25"/>
      <c r="L33" s="25"/>
      <c r="M33" s="25"/>
      <c r="N33" s="25"/>
      <c r="O33" s="25"/>
      <c r="P33" s="25"/>
      <c r="Q33" s="25"/>
      <c r="R33" s="25"/>
      <c r="S33" s="25"/>
    </row>
    <row r="34" spans="2:19" x14ac:dyDescent="0.2">
      <c r="B34" s="1" t="s">
        <v>59</v>
      </c>
      <c r="D34" s="42"/>
      <c r="K34" s="8"/>
      <c r="L34" s="8"/>
      <c r="M34" s="8"/>
      <c r="N34" s="132">
        <v>0.59199999999999997</v>
      </c>
      <c r="O34" s="132">
        <v>0.59199999999999997</v>
      </c>
      <c r="P34" s="132">
        <v>0.59199999999999997</v>
      </c>
      <c r="Q34" s="132">
        <v>0.59199999999999997</v>
      </c>
      <c r="R34" s="132">
        <v>0.59199999999999997</v>
      </c>
      <c r="S34" s="25"/>
    </row>
    <row r="35" spans="2:19" x14ac:dyDescent="0.2">
      <c r="B35" s="1" t="s">
        <v>57</v>
      </c>
      <c r="D35" s="42"/>
      <c r="K35" s="8"/>
      <c r="L35" s="8"/>
      <c r="M35" s="8"/>
      <c r="N35" s="79">
        <f t="shared" ref="N35:R35" si="0">1-N34</f>
        <v>0.40800000000000003</v>
      </c>
      <c r="O35" s="79">
        <f t="shared" si="0"/>
        <v>0.40800000000000003</v>
      </c>
      <c r="P35" s="79">
        <f t="shared" si="0"/>
        <v>0.40800000000000003</v>
      </c>
      <c r="Q35" s="79">
        <f t="shared" si="0"/>
        <v>0.40800000000000003</v>
      </c>
      <c r="R35" s="79">
        <f t="shared" si="0"/>
        <v>0.40800000000000003</v>
      </c>
      <c r="S35" s="25"/>
    </row>
    <row r="36" spans="2:19" x14ac:dyDescent="0.2">
      <c r="D36" s="42"/>
      <c r="K36" s="8"/>
      <c r="L36" s="8"/>
      <c r="M36" s="8"/>
      <c r="N36" s="8"/>
      <c r="O36" s="8"/>
      <c r="P36" s="8"/>
      <c r="Q36" s="8"/>
      <c r="R36" s="8"/>
      <c r="S36" s="8"/>
    </row>
    <row r="37" spans="2:19" x14ac:dyDescent="0.2">
      <c r="B37" s="25" t="s">
        <v>60</v>
      </c>
      <c r="E37" s="48"/>
      <c r="G37" s="8"/>
      <c r="H37" s="8"/>
      <c r="I37" s="15"/>
      <c r="J37" s="15"/>
      <c r="K37" s="25"/>
      <c r="L37" s="25"/>
      <c r="M37" s="25"/>
      <c r="N37" s="80">
        <f>SUMPRODUCT(N34:N35, N30:N31)</f>
        <v>4.5951852180371152E-3</v>
      </c>
      <c r="O37" s="80">
        <f>SUMPRODUCT(O34:O35, O30:O31)</f>
        <v>2.9368489159494111E-3</v>
      </c>
      <c r="P37" s="80">
        <f>SUMPRODUCT(P34:P35, P30:P31)</f>
        <v>3.8554459980797884E-3</v>
      </c>
      <c r="Q37" s="80">
        <f>SUMPRODUCT(Q34:Q35, Q30:Q31)</f>
        <v>5.8813071655116475E-3</v>
      </c>
      <c r="R37" s="80">
        <f>SUMPRODUCT(R34:R35, R30:R31)</f>
        <v>7.7406508790667933E-3</v>
      </c>
    </row>
    <row r="38" spans="2:19" x14ac:dyDescent="0.2">
      <c r="B38" s="17" t="s">
        <v>52</v>
      </c>
      <c r="C38" s="16"/>
      <c r="E38" s="48" t="s">
        <v>42</v>
      </c>
      <c r="F38" s="16"/>
      <c r="G38" s="10"/>
      <c r="H38" s="10"/>
      <c r="I38" s="10"/>
      <c r="J38" s="10"/>
      <c r="K38" s="81">
        <v>1</v>
      </c>
      <c r="L38" s="82">
        <f t="shared" ref="L38:R38" si="1">K38*(1+L37)</f>
        <v>1</v>
      </c>
      <c r="M38" s="82">
        <f t="shared" si="1"/>
        <v>1</v>
      </c>
      <c r="N38" s="82">
        <f t="shared" si="1"/>
        <v>1.004595185218037</v>
      </c>
      <c r="O38" s="82">
        <f t="shared" si="1"/>
        <v>1.0075455294987126</v>
      </c>
      <c r="P38" s="82">
        <f t="shared" si="1"/>
        <v>1.0114300668783016</v>
      </c>
      <c r="Q38" s="82">
        <f t="shared" si="1"/>
        <v>1.017378597778047</v>
      </c>
      <c r="R38" s="82">
        <f t="shared" si="1"/>
        <v>1.0252537703152813</v>
      </c>
    </row>
    <row r="39" spans="2:19" x14ac:dyDescent="0.2">
      <c r="B39" s="17"/>
      <c r="C39" s="16"/>
      <c r="E39" s="55"/>
      <c r="F39" s="16"/>
      <c r="G39" s="10"/>
      <c r="H39" s="10"/>
      <c r="I39" s="10"/>
      <c r="J39" s="10"/>
      <c r="K39" s="18"/>
      <c r="L39" s="18"/>
      <c r="M39" s="18"/>
      <c r="N39" s="18"/>
      <c r="O39" s="18"/>
      <c r="P39" s="18"/>
      <c r="Q39" s="18"/>
      <c r="R39" s="18"/>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FFFF00"/>
  </sheetPr>
  <dimension ref="A1:W22"/>
  <sheetViews>
    <sheetView showGridLines="0" zoomScale="80" zoomScaleNormal="80" workbookViewId="0">
      <pane xSplit="2" ySplit="2" topLeftCell="C3" activePane="bottomRight" state="frozen"/>
      <selection pane="topRight" activeCell="C1" sqref="C1"/>
      <selection pane="bottomLeft" activeCell="A3" sqref="A3"/>
      <selection pane="bottomRight"/>
    </sheetView>
  </sheetViews>
  <sheetFormatPr defaultColWidth="9" defaultRowHeight="12.75" x14ac:dyDescent="0.2"/>
  <cols>
    <col min="1" max="1" width="2" style="1" customWidth="1"/>
    <col min="2" max="2" width="38.625" style="1" customWidth="1"/>
    <col min="3" max="3" width="17.25" style="1" customWidth="1"/>
    <col min="4" max="4" width="15" style="1" customWidth="1"/>
    <col min="5" max="6" width="6.5" style="1" customWidth="1"/>
    <col min="7" max="7" width="11.375" style="43" customWidth="1"/>
    <col min="8" max="8" width="6" style="43" customWidth="1"/>
    <col min="9" max="10" width="6" style="1" customWidth="1"/>
    <col min="11" max="17" width="11.75" style="1" customWidth="1"/>
    <col min="18" max="18" width="2.5" style="1" customWidth="1"/>
    <col min="19" max="19" width="11.125" style="1" customWidth="1"/>
    <col min="20" max="16384" width="9" style="1"/>
  </cols>
  <sheetData>
    <row r="1" spans="1:21" ht="21" x14ac:dyDescent="0.35">
      <c r="A1" s="3" t="s">
        <v>4</v>
      </c>
      <c r="G1" s="128" t="s">
        <v>99</v>
      </c>
      <c r="H1" s="123" t="s">
        <v>100</v>
      </c>
    </row>
    <row r="2" spans="1:21" ht="18.75" x14ac:dyDescent="0.3">
      <c r="A2" s="7" t="str">
        <f ca="1">RIGHT(CELL("filename",A1),LEN(CELL("filename",A1))-FIND("]",CELL("filename",A1),1))</f>
        <v>5 minute settlement</v>
      </c>
      <c r="J2" s="30"/>
      <c r="K2" s="30"/>
      <c r="L2" s="30"/>
      <c r="M2" s="30"/>
      <c r="N2" s="30"/>
      <c r="O2" s="30"/>
      <c r="P2" s="30"/>
      <c r="Q2" s="30"/>
      <c r="U2" s="72" t="s">
        <v>9</v>
      </c>
    </row>
    <row r="3" spans="1:21" x14ac:dyDescent="0.2">
      <c r="A3" s="1" t="s">
        <v>23</v>
      </c>
      <c r="U3" s="73" t="b">
        <f>ROUND(SUM(U6:U23),4)=0</f>
        <v>1</v>
      </c>
    </row>
    <row r="4" spans="1:21" x14ac:dyDescent="0.2">
      <c r="N4" s="8"/>
      <c r="O4" s="8"/>
      <c r="P4" s="8"/>
      <c r="Q4" s="8"/>
    </row>
    <row r="5" spans="1:21" x14ac:dyDescent="0.2">
      <c r="A5" s="2" t="s">
        <v>13</v>
      </c>
      <c r="B5" s="2"/>
      <c r="C5" s="2"/>
      <c r="D5" s="2"/>
      <c r="E5" s="2"/>
      <c r="F5" s="2"/>
      <c r="G5" s="56"/>
      <c r="H5" s="56"/>
      <c r="I5" s="2"/>
      <c r="J5" s="2"/>
      <c r="K5" s="6"/>
      <c r="L5" s="6"/>
      <c r="M5" s="6"/>
      <c r="N5" s="6"/>
      <c r="O5" s="6"/>
      <c r="P5" s="6"/>
      <c r="Q5" s="6"/>
    </row>
    <row r="6" spans="1:21" x14ac:dyDescent="0.2">
      <c r="B6" s="29"/>
      <c r="N6" s="8"/>
      <c r="O6" s="8"/>
      <c r="P6" s="8"/>
      <c r="Q6" s="8"/>
    </row>
    <row r="7" spans="1:21" x14ac:dyDescent="0.2">
      <c r="B7" s="29"/>
      <c r="N7" s="8"/>
      <c r="O7" s="8"/>
      <c r="P7" s="8"/>
      <c r="Q7" s="8"/>
    </row>
    <row r="8" spans="1:21" x14ac:dyDescent="0.2">
      <c r="K8" s="32"/>
      <c r="N8" s="8"/>
      <c r="O8" s="8"/>
      <c r="P8" s="8"/>
      <c r="Q8" s="8"/>
    </row>
    <row r="9" spans="1:21" x14ac:dyDescent="0.2">
      <c r="B9" s="38" t="s">
        <v>29</v>
      </c>
      <c r="K9" s="35"/>
      <c r="N9" s="8"/>
      <c r="O9" s="8"/>
      <c r="P9" s="8"/>
      <c r="Q9" s="8"/>
    </row>
    <row r="10" spans="1:21" x14ac:dyDescent="0.2">
      <c r="B10" s="44" t="s">
        <v>34</v>
      </c>
      <c r="K10" s="35"/>
      <c r="N10" s="8"/>
      <c r="O10" s="8"/>
      <c r="P10" s="8"/>
      <c r="Q10" s="8"/>
    </row>
    <row r="11" spans="1:21" x14ac:dyDescent="0.2">
      <c r="B11" s="44" t="s">
        <v>33</v>
      </c>
      <c r="K11" s="35"/>
      <c r="N11" s="8"/>
      <c r="O11" s="8"/>
      <c r="P11" s="8"/>
      <c r="Q11" s="8"/>
    </row>
    <row r="12" spans="1:21" x14ac:dyDescent="0.2">
      <c r="B12" s="44" t="s">
        <v>49</v>
      </c>
      <c r="K12" s="35"/>
      <c r="N12" s="8"/>
      <c r="O12" s="8"/>
      <c r="P12" s="8"/>
      <c r="Q12" s="8"/>
    </row>
    <row r="13" spans="1:21" x14ac:dyDescent="0.2">
      <c r="J13" s="33"/>
      <c r="K13" s="33"/>
      <c r="L13" s="33"/>
      <c r="M13" s="33"/>
      <c r="N13" s="33"/>
      <c r="O13" s="33"/>
      <c r="P13" s="33"/>
      <c r="Q13" s="33"/>
    </row>
    <row r="14" spans="1:21" x14ac:dyDescent="0.2">
      <c r="A14" s="2" t="s">
        <v>37</v>
      </c>
      <c r="B14" s="2"/>
      <c r="C14" s="2"/>
      <c r="D14" s="2"/>
      <c r="E14" s="2"/>
      <c r="F14" s="2"/>
      <c r="G14" s="56"/>
      <c r="H14" s="56"/>
      <c r="I14" s="2"/>
      <c r="J14" s="2"/>
      <c r="K14" s="6">
        <v>2019</v>
      </c>
      <c r="L14" s="6">
        <v>2020</v>
      </c>
      <c r="M14" s="6" t="s">
        <v>17</v>
      </c>
      <c r="N14" s="6" t="s">
        <v>18</v>
      </c>
      <c r="O14" s="6" t="s">
        <v>19</v>
      </c>
      <c r="P14" s="6" t="s">
        <v>20</v>
      </c>
      <c r="Q14" s="6" t="s">
        <v>21</v>
      </c>
      <c r="S14" s="6" t="s">
        <v>30</v>
      </c>
    </row>
    <row r="15" spans="1:21" x14ac:dyDescent="0.2">
      <c r="A15" s="89"/>
      <c r="B15" s="89"/>
      <c r="C15" s="89"/>
      <c r="D15" s="89"/>
      <c r="E15" s="89"/>
      <c r="F15" s="89"/>
      <c r="G15" s="90"/>
      <c r="H15" s="90"/>
      <c r="I15" s="89"/>
      <c r="J15" s="89"/>
      <c r="K15" s="91"/>
      <c r="L15" s="91"/>
      <c r="M15" s="91"/>
      <c r="N15" s="91"/>
      <c r="O15" s="91"/>
      <c r="P15" s="91"/>
      <c r="Q15" s="91"/>
      <c r="S15" s="91"/>
    </row>
    <row r="16" spans="1:21" s="12" customFormat="1" x14ac:dyDescent="0.2">
      <c r="A16" s="10"/>
      <c r="B16" s="10"/>
      <c r="C16" s="10"/>
      <c r="D16" s="10"/>
      <c r="E16" s="10"/>
      <c r="F16" s="10"/>
      <c r="G16" s="58"/>
      <c r="H16" s="58"/>
      <c r="I16" s="10"/>
      <c r="J16" s="10"/>
      <c r="K16" s="10"/>
      <c r="L16" s="10"/>
      <c r="M16" s="10"/>
      <c r="N16" s="10"/>
      <c r="O16" s="10"/>
      <c r="P16" s="10"/>
      <c r="Q16" s="10"/>
      <c r="R16" s="1"/>
    </row>
    <row r="17" spans="2:23" x14ac:dyDescent="0.2">
      <c r="B17" s="1" t="str">
        <f ca="1">"Powercor "&amp;$A$2 &amp;" allocated cost"</f>
        <v>Powercor 5 minute settlement allocated cost</v>
      </c>
      <c r="C17" s="64" t="s">
        <v>12</v>
      </c>
      <c r="G17" s="59" t="s">
        <v>101</v>
      </c>
      <c r="J17" s="33"/>
      <c r="K17" s="33"/>
      <c r="L17" s="33"/>
      <c r="M17" s="129">
        <v>502.65505106183707</v>
      </c>
      <c r="N17" s="129">
        <v>701.92783952726995</v>
      </c>
      <c r="O17" s="129">
        <v>891.48004847600896</v>
      </c>
      <c r="P17" s="129">
        <v>1086.9093809608376</v>
      </c>
      <c r="Q17" s="129">
        <v>1295.4580010955119</v>
      </c>
      <c r="S17" s="13">
        <f>SUM(M17:Q17)</f>
        <v>4478.4303211214656</v>
      </c>
      <c r="T17" s="33"/>
      <c r="U17" s="33"/>
      <c r="V17" s="33"/>
      <c r="W17" s="33"/>
    </row>
    <row r="18" spans="2:23" x14ac:dyDescent="0.2">
      <c r="B18" s="1" t="str">
        <f ca="1">"CitiPower "&amp;$A$2 &amp;" allocated cost"</f>
        <v>CitiPower 5 minute settlement allocated cost</v>
      </c>
      <c r="C18" s="64" t="s">
        <v>11</v>
      </c>
      <c r="G18" s="59" t="s">
        <v>101</v>
      </c>
      <c r="H18" s="33"/>
      <c r="J18" s="33"/>
      <c r="K18" s="33"/>
      <c r="L18" s="33"/>
      <c r="M18" s="129">
        <v>198.90980858636945</v>
      </c>
      <c r="N18" s="129">
        <v>277.76570016927354</v>
      </c>
      <c r="O18" s="129">
        <v>352.77498042910491</v>
      </c>
      <c r="P18" s="129">
        <v>430.10994609711531</v>
      </c>
      <c r="Q18" s="129">
        <v>512.63645413540098</v>
      </c>
      <c r="S18" s="13">
        <f>SUM(M18:Q18)</f>
        <v>1772.1968894172642</v>
      </c>
      <c r="T18" s="33"/>
      <c r="U18" s="33"/>
      <c r="V18" s="33"/>
      <c r="W18" s="33"/>
    </row>
    <row r="19" spans="2:23" x14ac:dyDescent="0.2">
      <c r="J19" s="33"/>
      <c r="K19" s="33"/>
      <c r="L19" s="33"/>
      <c r="M19" s="33"/>
      <c r="N19" s="33"/>
      <c r="O19" s="33"/>
      <c r="P19" s="33"/>
      <c r="Q19" s="33"/>
      <c r="S19" s="33"/>
      <c r="T19" s="33"/>
      <c r="U19" s="33"/>
      <c r="V19" s="33"/>
      <c r="W19" s="33"/>
    </row>
    <row r="20" spans="2:23" x14ac:dyDescent="0.2">
      <c r="B20" s="4" t="s">
        <v>41</v>
      </c>
      <c r="J20" s="33"/>
      <c r="K20" s="33"/>
      <c r="L20" s="33"/>
      <c r="M20" s="33"/>
      <c r="N20" s="33"/>
      <c r="O20" s="33"/>
      <c r="P20" s="33"/>
      <c r="Q20" s="33"/>
      <c r="S20" s="33"/>
      <c r="T20" s="33"/>
      <c r="U20" s="33"/>
      <c r="V20" s="33"/>
      <c r="W20" s="33"/>
    </row>
    <row r="21" spans="2:23" ht="13.5" thickBot="1" x14ac:dyDescent="0.25">
      <c r="B21" s="83" t="str">
        <f ca="1">"CitiPower "&amp;$A$2</f>
        <v>CitiPower 5 minute settlement</v>
      </c>
      <c r="C21" s="84" t="s">
        <v>42</v>
      </c>
      <c r="D21" s="83"/>
      <c r="E21" s="83"/>
      <c r="F21" s="83"/>
      <c r="G21" s="85" t="s">
        <v>101</v>
      </c>
      <c r="H21" s="86"/>
      <c r="I21" s="83"/>
      <c r="J21" s="87"/>
      <c r="K21" s="87"/>
      <c r="L21" s="88"/>
      <c r="M21" s="88">
        <f>M18*Assumptions!$N$38</f>
        <v>199.82383599850812</v>
      </c>
      <c r="N21" s="88">
        <f>N18*Assumptions!$N$38</f>
        <v>279.04208500876911</v>
      </c>
      <c r="O21" s="88">
        <f>O18*Assumptions!$N$38</f>
        <v>354.39604680446604</v>
      </c>
      <c r="P21" s="88">
        <f>P18*Assumptions!$N$38</f>
        <v>432.08638096355151</v>
      </c>
      <c r="Q21" s="88">
        <f>Q18*Assumptions!$N$38</f>
        <v>514.99211359167089</v>
      </c>
      <c r="R21" s="37"/>
      <c r="S21" s="88">
        <f>SUM(M21:Q21)</f>
        <v>1780.3404623669655</v>
      </c>
      <c r="T21" s="33"/>
      <c r="U21" s="33"/>
      <c r="V21" s="33"/>
      <c r="W21" s="33"/>
    </row>
    <row r="22" spans="2:23" ht="13.5" thickTop="1" x14ac:dyDescent="0.2">
      <c r="J22" s="33"/>
      <c r="K22" s="33"/>
      <c r="L22" s="33"/>
      <c r="M22" s="33"/>
      <c r="N22" s="33"/>
      <c r="O22" s="33"/>
      <c r="P22" s="33"/>
      <c r="Q22" s="33"/>
      <c r="S22" s="33"/>
      <c r="T22" s="33"/>
      <c r="U22" s="33"/>
      <c r="V22" s="33"/>
      <c r="W22" s="33"/>
    </row>
  </sheetData>
  <conditionalFormatting sqref="U3">
    <cfRule type="expression" dxfId="0" priority="1">
      <formula>$U$3=FALSE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00FF00"/>
  </sheetPr>
  <dimension ref="A1:U99"/>
  <sheetViews>
    <sheetView showGridLines="0" zoomScale="80" zoomScaleNormal="80" workbookViewId="0">
      <pane xSplit="2" ySplit="2" topLeftCell="C3" activePane="bottomRight" state="frozen"/>
      <selection activeCell="G66" sqref="G66"/>
      <selection pane="topRight" activeCell="G66" sqref="G66"/>
      <selection pane="bottomLeft" activeCell="G66" sqref="G66"/>
      <selection pane="bottomRight"/>
    </sheetView>
  </sheetViews>
  <sheetFormatPr defaultColWidth="9" defaultRowHeight="12.75" x14ac:dyDescent="0.2"/>
  <cols>
    <col min="1" max="1" width="2" style="1" customWidth="1"/>
    <col min="2" max="2" width="43.125" style="1" customWidth="1"/>
    <col min="3" max="3" width="17.25" style="1" customWidth="1"/>
    <col min="4" max="4" width="6.875" style="1" customWidth="1"/>
    <col min="5" max="5" width="11.125" style="1" customWidth="1"/>
    <col min="6" max="6" width="1.625" style="1" customWidth="1"/>
    <col min="7" max="7" width="11.375" style="43" customWidth="1"/>
    <col min="8" max="8" width="17" style="43" customWidth="1"/>
    <col min="9" max="9" width="11.875" style="1" customWidth="1"/>
    <col min="10" max="10" width="9.75" style="1" customWidth="1"/>
    <col min="11" max="12" width="9" style="1" customWidth="1"/>
    <col min="13" max="17" width="9" style="1"/>
    <col min="18" max="18" width="2.5" style="1" customWidth="1"/>
    <col min="19" max="16384" width="9" style="1"/>
  </cols>
  <sheetData>
    <row r="1" spans="1:17" ht="21" x14ac:dyDescent="0.35">
      <c r="A1" s="3" t="s">
        <v>97</v>
      </c>
      <c r="C1" s="128" t="s">
        <v>99</v>
      </c>
      <c r="D1" s="123" t="s">
        <v>100</v>
      </c>
      <c r="G1" s="1"/>
      <c r="H1" s="1"/>
    </row>
    <row r="2" spans="1:17" ht="18.75" x14ac:dyDescent="0.3">
      <c r="A2" s="7" t="str">
        <f ca="1">RIGHT(CELL("filename",A1),LEN(CELL("filename",A1))-FIND("]",CELL("filename",A1),1))</f>
        <v>Security of Critical Infr</v>
      </c>
    </row>
    <row r="3" spans="1:17" x14ac:dyDescent="0.2">
      <c r="A3" s="1" t="s">
        <v>98</v>
      </c>
    </row>
    <row r="5" spans="1:17" x14ac:dyDescent="0.2">
      <c r="A5" s="2" t="s">
        <v>13</v>
      </c>
      <c r="B5" s="2"/>
      <c r="C5" s="2"/>
      <c r="D5" s="2"/>
      <c r="E5" s="2"/>
      <c r="F5" s="2"/>
      <c r="G5" s="56"/>
      <c r="H5" s="56"/>
      <c r="I5" s="2"/>
      <c r="J5" s="2"/>
      <c r="K5" s="6"/>
      <c r="L5" s="6"/>
      <c r="M5" s="6"/>
      <c r="N5" s="6"/>
      <c r="O5" s="6"/>
      <c r="P5" s="6"/>
      <c r="Q5" s="6"/>
    </row>
    <row r="6" spans="1:17" x14ac:dyDescent="0.2">
      <c r="B6" s="43"/>
      <c r="C6" s="43"/>
      <c r="D6" s="43"/>
      <c r="E6" s="43"/>
      <c r="F6" s="43"/>
    </row>
    <row r="7" spans="1:17" x14ac:dyDescent="0.2">
      <c r="B7" s="43"/>
      <c r="C7" s="43"/>
      <c r="D7" s="43"/>
      <c r="E7" s="43"/>
      <c r="F7" s="43"/>
    </row>
    <row r="8" spans="1:17" x14ac:dyDescent="0.2">
      <c r="B8" s="43"/>
      <c r="C8" s="43"/>
      <c r="D8" s="43"/>
      <c r="E8" s="43"/>
      <c r="F8" s="43"/>
    </row>
    <row r="9" spans="1:17" x14ac:dyDescent="0.2">
      <c r="B9" s="43"/>
      <c r="C9" s="43"/>
      <c r="D9" s="43"/>
      <c r="E9" s="43"/>
      <c r="F9" s="43"/>
    </row>
    <row r="11" spans="1:17" x14ac:dyDescent="0.2">
      <c r="B11" s="4" t="s">
        <v>29</v>
      </c>
    </row>
    <row r="12" spans="1:17" x14ac:dyDescent="0.2">
      <c r="B12" s="1" t="s">
        <v>32</v>
      </c>
    </row>
    <row r="13" spans="1:17" x14ac:dyDescent="0.2">
      <c r="B13" s="1" t="s">
        <v>28</v>
      </c>
    </row>
    <row r="14" spans="1:17" x14ac:dyDescent="0.2">
      <c r="B14" s="44" t="s">
        <v>49</v>
      </c>
    </row>
    <row r="16" spans="1:17" x14ac:dyDescent="0.2">
      <c r="A16" s="2" t="s">
        <v>22</v>
      </c>
      <c r="B16" s="2"/>
      <c r="C16" s="2"/>
      <c r="D16" s="2"/>
      <c r="E16" s="2"/>
      <c r="F16" s="2"/>
      <c r="G16" s="56"/>
      <c r="H16" s="56" t="s">
        <v>27</v>
      </c>
      <c r="I16" s="2"/>
      <c r="J16" s="2"/>
      <c r="K16" s="6" t="s">
        <v>26</v>
      </c>
      <c r="L16" s="6" t="s">
        <v>15</v>
      </c>
      <c r="M16" s="6" t="s">
        <v>17</v>
      </c>
      <c r="N16" s="6" t="s">
        <v>18</v>
      </c>
      <c r="O16" s="6" t="s">
        <v>19</v>
      </c>
      <c r="P16" s="6" t="s">
        <v>20</v>
      </c>
      <c r="Q16" s="6" t="s">
        <v>21</v>
      </c>
    </row>
    <row r="18" spans="2:19" x14ac:dyDescent="0.2">
      <c r="G18" s="1"/>
      <c r="S18" s="92"/>
    </row>
    <row r="19" spans="2:19" x14ac:dyDescent="0.2">
      <c r="G19" s="1"/>
      <c r="S19" s="92"/>
    </row>
    <row r="20" spans="2:19" x14ac:dyDescent="0.2">
      <c r="B20" s="134"/>
      <c r="C20" s="135"/>
      <c r="D20" s="135"/>
      <c r="E20" s="135"/>
      <c r="F20" s="135"/>
      <c r="G20" s="136"/>
      <c r="H20" s="135"/>
      <c r="I20" s="135"/>
      <c r="J20" s="135"/>
      <c r="K20" s="135"/>
      <c r="L20" s="135"/>
      <c r="M20" s="135"/>
      <c r="N20" s="135"/>
      <c r="O20" s="135"/>
      <c r="P20" s="135"/>
      <c r="Q20" s="135"/>
      <c r="S20" s="92"/>
    </row>
    <row r="21" spans="2:19" x14ac:dyDescent="0.2">
      <c r="B21" s="137"/>
      <c r="C21" s="135"/>
      <c r="D21" s="135"/>
      <c r="E21" s="135"/>
      <c r="F21" s="135"/>
      <c r="G21" s="135"/>
      <c r="H21" s="135"/>
      <c r="I21" s="135"/>
      <c r="J21" s="135"/>
      <c r="K21" s="135"/>
      <c r="L21" s="135"/>
      <c r="M21" s="138"/>
      <c r="N21" s="138"/>
      <c r="O21" s="138"/>
      <c r="P21" s="138"/>
      <c r="Q21" s="138"/>
      <c r="S21" s="92"/>
    </row>
    <row r="22" spans="2:19" x14ac:dyDescent="0.2">
      <c r="B22" s="137"/>
      <c r="C22" s="135"/>
      <c r="D22" s="135"/>
      <c r="E22" s="135"/>
      <c r="F22" s="135"/>
      <c r="G22" s="139"/>
      <c r="H22" s="139"/>
      <c r="I22" s="135"/>
      <c r="J22" s="135"/>
      <c r="K22" s="135"/>
      <c r="L22" s="135"/>
      <c r="M22" s="138"/>
      <c r="N22" s="138"/>
      <c r="O22" s="138"/>
      <c r="P22" s="138"/>
      <c r="Q22" s="138"/>
    </row>
    <row r="23" spans="2:19" x14ac:dyDescent="0.2">
      <c r="B23" s="137"/>
      <c r="C23" s="135"/>
      <c r="D23" s="135"/>
      <c r="E23" s="135"/>
      <c r="F23" s="135"/>
      <c r="G23" s="139"/>
      <c r="H23" s="139"/>
      <c r="I23" s="135"/>
      <c r="J23" s="135"/>
      <c r="K23" s="135"/>
      <c r="L23" s="135"/>
      <c r="M23" s="138"/>
      <c r="N23" s="138"/>
      <c r="O23" s="138"/>
      <c r="P23" s="138"/>
      <c r="Q23" s="138"/>
    </row>
    <row r="24" spans="2:19" x14ac:dyDescent="0.2">
      <c r="B24" s="135"/>
      <c r="C24" s="135"/>
      <c r="D24" s="135"/>
      <c r="E24" s="135"/>
      <c r="F24" s="135"/>
      <c r="G24" s="139"/>
      <c r="H24" s="139"/>
      <c r="I24" s="135"/>
      <c r="J24" s="135"/>
      <c r="K24" s="135"/>
      <c r="L24" s="135"/>
      <c r="M24" s="135"/>
      <c r="N24" s="135"/>
      <c r="O24" s="135"/>
      <c r="P24" s="135"/>
      <c r="Q24" s="135"/>
    </row>
    <row r="25" spans="2:19" x14ac:dyDescent="0.2">
      <c r="B25" s="135"/>
      <c r="C25" s="135"/>
      <c r="D25" s="135"/>
      <c r="E25" s="135"/>
      <c r="F25" s="135"/>
      <c r="G25" s="139"/>
      <c r="H25" s="139"/>
      <c r="I25" s="135"/>
      <c r="J25" s="135"/>
      <c r="K25" s="135"/>
      <c r="L25" s="135"/>
      <c r="M25" s="135"/>
      <c r="N25" s="135"/>
      <c r="O25" s="135"/>
      <c r="P25" s="135"/>
      <c r="Q25" s="135"/>
    </row>
    <row r="26" spans="2:19" x14ac:dyDescent="0.2">
      <c r="B26" s="134"/>
      <c r="C26" s="135"/>
      <c r="D26" s="135"/>
      <c r="E26" s="135"/>
      <c r="F26" s="135"/>
      <c r="G26" s="136"/>
      <c r="H26" s="139"/>
      <c r="I26" s="135"/>
      <c r="J26" s="135"/>
      <c r="K26" s="135"/>
      <c r="L26" s="135"/>
      <c r="M26" s="135"/>
      <c r="N26" s="135"/>
      <c r="O26" s="135"/>
      <c r="P26" s="135"/>
      <c r="Q26" s="135"/>
    </row>
    <row r="27" spans="2:19" x14ac:dyDescent="0.2">
      <c r="B27" s="137"/>
      <c r="C27" s="135"/>
      <c r="D27" s="135"/>
      <c r="E27" s="135"/>
      <c r="F27" s="135"/>
      <c r="G27" s="139"/>
      <c r="H27" s="139"/>
      <c r="I27" s="135"/>
      <c r="J27" s="135"/>
      <c r="K27" s="135"/>
      <c r="L27" s="135"/>
      <c r="M27" s="138"/>
      <c r="N27" s="138"/>
      <c r="O27" s="138"/>
      <c r="P27" s="138"/>
      <c r="Q27" s="138"/>
    </row>
    <row r="28" spans="2:19" x14ac:dyDescent="0.2">
      <c r="B28" s="137"/>
      <c r="C28" s="135"/>
      <c r="D28" s="135"/>
      <c r="E28" s="135"/>
      <c r="F28" s="135"/>
      <c r="G28" s="139"/>
      <c r="H28" s="139"/>
      <c r="I28" s="135"/>
      <c r="J28" s="135"/>
      <c r="K28" s="135"/>
      <c r="L28" s="135"/>
      <c r="M28" s="138"/>
      <c r="N28" s="138"/>
      <c r="O28" s="138"/>
      <c r="P28" s="138"/>
      <c r="Q28" s="138"/>
    </row>
    <row r="29" spans="2:19" x14ac:dyDescent="0.2">
      <c r="B29" s="137"/>
      <c r="C29" s="135"/>
      <c r="D29" s="135"/>
      <c r="E29" s="135"/>
      <c r="F29" s="135"/>
      <c r="G29" s="139"/>
      <c r="H29" s="139"/>
      <c r="I29" s="135"/>
      <c r="J29" s="135"/>
      <c r="K29" s="135"/>
      <c r="L29" s="135"/>
      <c r="M29" s="138"/>
      <c r="N29" s="138"/>
      <c r="O29" s="138"/>
      <c r="P29" s="138"/>
      <c r="Q29" s="138"/>
    </row>
    <row r="30" spans="2:19" x14ac:dyDescent="0.2">
      <c r="B30" s="137"/>
      <c r="C30" s="135"/>
      <c r="D30" s="135"/>
      <c r="E30" s="135"/>
      <c r="F30" s="135"/>
      <c r="G30" s="139"/>
      <c r="H30" s="139"/>
      <c r="I30" s="135"/>
      <c r="J30" s="135"/>
      <c r="K30" s="135"/>
      <c r="L30" s="135"/>
      <c r="M30" s="138"/>
      <c r="N30" s="138"/>
      <c r="O30" s="138"/>
      <c r="P30" s="138"/>
      <c r="Q30" s="138"/>
    </row>
    <row r="31" spans="2:19" x14ac:dyDescent="0.2">
      <c r="B31" s="137"/>
      <c r="C31" s="135"/>
      <c r="D31" s="135"/>
      <c r="E31" s="135"/>
      <c r="F31" s="135"/>
      <c r="G31" s="139"/>
      <c r="H31" s="139"/>
      <c r="I31" s="135"/>
      <c r="J31" s="135"/>
      <c r="K31" s="135"/>
      <c r="L31" s="135"/>
      <c r="M31" s="138"/>
      <c r="N31" s="138"/>
      <c r="O31" s="138"/>
      <c r="P31" s="138"/>
      <c r="Q31" s="138"/>
    </row>
    <row r="32" spans="2:19" x14ac:dyDescent="0.2">
      <c r="B32" s="137"/>
      <c r="C32" s="135"/>
      <c r="D32" s="135"/>
      <c r="E32" s="135"/>
      <c r="F32" s="135"/>
      <c r="G32" s="139"/>
      <c r="H32" s="139"/>
      <c r="I32" s="135"/>
      <c r="J32" s="135"/>
      <c r="K32" s="135"/>
      <c r="L32" s="135"/>
      <c r="M32" s="138"/>
      <c r="N32" s="138"/>
      <c r="O32" s="138"/>
      <c r="P32" s="138"/>
      <c r="Q32" s="138"/>
    </row>
    <row r="33" spans="1:21" x14ac:dyDescent="0.2">
      <c r="B33" s="137"/>
      <c r="C33" s="135"/>
      <c r="D33" s="135"/>
      <c r="E33" s="135"/>
      <c r="F33" s="135"/>
      <c r="G33" s="139"/>
      <c r="H33" s="139"/>
      <c r="I33" s="135"/>
      <c r="J33" s="135"/>
      <c r="K33" s="135"/>
      <c r="L33" s="135"/>
      <c r="M33" s="138"/>
      <c r="N33" s="138"/>
      <c r="O33" s="138"/>
      <c r="P33" s="138"/>
      <c r="Q33" s="138"/>
    </row>
    <row r="34" spans="1:21" x14ac:dyDescent="0.2">
      <c r="B34" s="140"/>
      <c r="C34" s="140"/>
      <c r="D34" s="140"/>
      <c r="E34" s="140"/>
      <c r="F34" s="140"/>
      <c r="G34" s="140"/>
      <c r="H34" s="140"/>
      <c r="I34" s="140"/>
      <c r="J34" s="140"/>
      <c r="K34" s="140"/>
      <c r="L34" s="140"/>
      <c r="M34" s="140"/>
      <c r="N34" s="140"/>
      <c r="O34" s="140"/>
      <c r="P34" s="140"/>
      <c r="Q34" s="140"/>
    </row>
    <row r="35" spans="1:21" x14ac:dyDescent="0.2">
      <c r="B35" s="140"/>
      <c r="C35" s="140"/>
      <c r="D35" s="140"/>
      <c r="E35" s="140"/>
      <c r="F35" s="140"/>
      <c r="G35" s="140"/>
      <c r="H35" s="140"/>
      <c r="I35" s="140"/>
      <c r="J35" s="140"/>
      <c r="K35" s="140"/>
      <c r="L35" s="140"/>
      <c r="M35" s="140"/>
      <c r="N35" s="140"/>
      <c r="O35" s="140"/>
      <c r="P35" s="140"/>
      <c r="Q35" s="140"/>
    </row>
    <row r="36" spans="1:21" x14ac:dyDescent="0.2">
      <c r="B36" s="140"/>
      <c r="C36" s="140"/>
      <c r="D36" s="140"/>
      <c r="E36" s="140"/>
      <c r="F36" s="140"/>
      <c r="G36" s="140"/>
      <c r="H36" s="140"/>
      <c r="I36" s="140"/>
      <c r="J36" s="140"/>
      <c r="K36" s="140"/>
      <c r="L36" s="140"/>
      <c r="M36" s="140"/>
      <c r="N36" s="140"/>
      <c r="O36" s="140"/>
      <c r="P36" s="140"/>
      <c r="Q36" s="140"/>
    </row>
    <row r="37" spans="1:21" x14ac:dyDescent="0.2">
      <c r="B37" s="140"/>
      <c r="C37" s="140"/>
      <c r="D37" s="140"/>
      <c r="E37" s="140"/>
      <c r="F37" s="140"/>
      <c r="G37" s="140"/>
      <c r="H37" s="140"/>
      <c r="I37" s="140"/>
      <c r="J37" s="140"/>
      <c r="K37" s="140"/>
      <c r="L37" s="140"/>
      <c r="M37" s="140"/>
      <c r="N37" s="140"/>
      <c r="O37" s="140"/>
      <c r="P37" s="140"/>
      <c r="Q37" s="140"/>
    </row>
    <row r="38" spans="1:21" x14ac:dyDescent="0.2">
      <c r="B38" s="140"/>
      <c r="C38" s="140"/>
      <c r="D38" s="140"/>
      <c r="E38" s="140"/>
      <c r="F38" s="140"/>
      <c r="G38" s="140"/>
      <c r="H38" s="140"/>
      <c r="I38" s="140"/>
      <c r="J38" s="140"/>
      <c r="K38" s="140"/>
      <c r="L38" s="140"/>
      <c r="M38" s="140"/>
      <c r="N38" s="140"/>
      <c r="O38" s="140"/>
      <c r="P38" s="140"/>
      <c r="Q38" s="140"/>
      <c r="R38" s="36"/>
      <c r="S38" s="36"/>
      <c r="T38" s="36"/>
      <c r="U38" s="36"/>
    </row>
    <row r="39" spans="1:21" x14ac:dyDescent="0.2">
      <c r="B39" s="140"/>
      <c r="C39" s="140"/>
      <c r="D39" s="140"/>
      <c r="E39" s="140"/>
      <c r="F39" s="140"/>
      <c r="G39" s="140"/>
      <c r="H39" s="140"/>
      <c r="I39" s="140"/>
      <c r="J39" s="140"/>
      <c r="K39" s="140"/>
      <c r="L39" s="140"/>
      <c r="M39" s="140"/>
      <c r="N39" s="140"/>
      <c r="O39" s="140"/>
      <c r="P39" s="140"/>
      <c r="Q39" s="140"/>
      <c r="R39" s="36"/>
      <c r="S39" s="36"/>
      <c r="T39" s="36"/>
      <c r="U39" s="36"/>
    </row>
    <row r="40" spans="1:21" x14ac:dyDescent="0.2">
      <c r="B40" s="140"/>
      <c r="C40" s="140"/>
      <c r="D40" s="140"/>
      <c r="E40" s="140"/>
      <c r="F40" s="140"/>
      <c r="G40" s="140"/>
      <c r="H40" s="140"/>
      <c r="I40" s="140"/>
      <c r="J40" s="140"/>
      <c r="K40" s="140"/>
      <c r="L40" s="140"/>
      <c r="M40" s="140"/>
      <c r="N40" s="140"/>
      <c r="O40" s="140"/>
      <c r="P40" s="140"/>
      <c r="Q40" s="140"/>
    </row>
    <row r="41" spans="1:21" x14ac:dyDescent="0.2">
      <c r="B41" s="140"/>
      <c r="C41" s="140"/>
      <c r="D41" s="140"/>
      <c r="E41" s="140"/>
      <c r="F41" s="140"/>
      <c r="G41" s="140"/>
      <c r="H41" s="140"/>
      <c r="I41" s="140"/>
      <c r="J41" s="140"/>
      <c r="K41" s="140"/>
      <c r="L41" s="140"/>
      <c r="M41" s="140"/>
      <c r="N41" s="140"/>
      <c r="O41" s="140"/>
      <c r="P41" s="140"/>
      <c r="Q41" s="140"/>
    </row>
    <row r="42" spans="1:21" x14ac:dyDescent="0.2">
      <c r="B42" s="140"/>
      <c r="C42" s="140"/>
      <c r="D42" s="140"/>
      <c r="E42" s="140"/>
      <c r="F42" s="140"/>
      <c r="G42" s="140"/>
      <c r="H42" s="140"/>
      <c r="I42" s="140"/>
      <c r="J42" s="140"/>
      <c r="K42" s="140"/>
      <c r="L42" s="140"/>
      <c r="M42" s="140"/>
      <c r="N42" s="140"/>
      <c r="O42" s="140"/>
      <c r="P42" s="140"/>
      <c r="Q42" s="140"/>
    </row>
    <row r="43" spans="1:21" x14ac:dyDescent="0.2">
      <c r="B43" s="140"/>
      <c r="C43" s="140"/>
      <c r="D43" s="140"/>
      <c r="E43" s="140"/>
      <c r="F43" s="140"/>
      <c r="G43" s="140"/>
      <c r="H43" s="140"/>
      <c r="I43" s="140"/>
      <c r="J43" s="140"/>
      <c r="K43" s="140"/>
      <c r="L43" s="140"/>
      <c r="M43" s="140"/>
      <c r="N43" s="140"/>
      <c r="O43" s="140"/>
      <c r="P43" s="140"/>
      <c r="Q43" s="140"/>
    </row>
    <row r="44" spans="1:21" x14ac:dyDescent="0.2">
      <c r="B44" s="140"/>
      <c r="C44" s="140"/>
      <c r="D44" s="140"/>
      <c r="E44" s="140"/>
      <c r="F44" s="140"/>
      <c r="G44" s="140"/>
      <c r="H44" s="140"/>
      <c r="I44" s="140"/>
      <c r="J44" s="140"/>
      <c r="K44" s="140"/>
      <c r="L44" s="140"/>
      <c r="M44" s="140"/>
      <c r="N44" s="140"/>
      <c r="O44" s="140"/>
      <c r="P44" s="140"/>
      <c r="Q44" s="140"/>
    </row>
    <row r="45" spans="1:21" x14ac:dyDescent="0.2">
      <c r="A45" s="4"/>
      <c r="B45" s="140"/>
      <c r="C45" s="140"/>
      <c r="D45" s="140"/>
      <c r="E45" s="140"/>
      <c r="F45" s="140"/>
      <c r="G45" s="140"/>
      <c r="H45" s="140"/>
      <c r="I45" s="140"/>
      <c r="J45" s="140"/>
      <c r="K45" s="140"/>
      <c r="L45" s="140"/>
      <c r="M45" s="140"/>
      <c r="N45" s="140"/>
      <c r="O45" s="140"/>
      <c r="P45" s="140"/>
      <c r="Q45" s="140"/>
    </row>
    <row r="46" spans="1:21" x14ac:dyDescent="0.2">
      <c r="B46" s="145"/>
      <c r="C46" s="145"/>
      <c r="D46" s="145"/>
      <c r="E46" s="145"/>
      <c r="F46" s="145"/>
      <c r="G46" s="145"/>
      <c r="H46" s="145"/>
      <c r="I46" s="145"/>
      <c r="J46" s="145"/>
      <c r="K46" s="145"/>
      <c r="L46" s="145"/>
      <c r="M46" s="145"/>
      <c r="N46" s="145"/>
      <c r="O46" s="145"/>
      <c r="P46" s="145"/>
      <c r="Q46" s="145"/>
    </row>
    <row r="47" spans="1:21" x14ac:dyDescent="0.2">
      <c r="B47" s="146"/>
      <c r="C47" s="146"/>
      <c r="D47" s="146"/>
      <c r="E47" s="146"/>
      <c r="F47" s="146"/>
      <c r="G47" s="147"/>
      <c r="H47" s="148"/>
      <c r="I47" s="146"/>
      <c r="J47" s="146"/>
      <c r="K47" s="146"/>
      <c r="L47" s="146"/>
      <c r="M47" s="149"/>
      <c r="N47" s="149"/>
      <c r="O47" s="149"/>
      <c r="P47" s="149"/>
      <c r="Q47" s="149"/>
    </row>
    <row r="48" spans="1:21" x14ac:dyDescent="0.2">
      <c r="B48" s="150" t="s">
        <v>102</v>
      </c>
      <c r="C48" s="151"/>
      <c r="D48" s="151"/>
      <c r="E48" s="151"/>
      <c r="F48" s="151"/>
      <c r="G48" s="152"/>
      <c r="H48" s="153"/>
      <c r="I48" s="151"/>
      <c r="J48" s="151"/>
      <c r="K48" s="151"/>
      <c r="L48" s="154"/>
      <c r="M48" s="154"/>
      <c r="N48" s="154"/>
      <c r="O48" s="154"/>
      <c r="P48" s="154"/>
      <c r="Q48" s="154"/>
    </row>
    <row r="49" spans="1:19" x14ac:dyDescent="0.2">
      <c r="G49" s="95"/>
      <c r="H49" s="93"/>
      <c r="M49" s="92"/>
      <c r="N49" s="92"/>
      <c r="O49" s="92"/>
      <c r="P49" s="92"/>
      <c r="Q49" s="92"/>
    </row>
    <row r="50" spans="1:19" x14ac:dyDescent="0.2">
      <c r="A50" s="2" t="s">
        <v>37</v>
      </c>
      <c r="B50" s="2"/>
      <c r="C50" s="2"/>
      <c r="D50" s="2"/>
      <c r="E50" s="2"/>
      <c r="F50" s="2"/>
      <c r="G50" s="56"/>
      <c r="H50" s="56"/>
      <c r="I50" s="2"/>
      <c r="J50" s="2"/>
      <c r="K50" s="6" t="s">
        <v>26</v>
      </c>
      <c r="L50" s="6" t="s">
        <v>15</v>
      </c>
      <c r="M50" s="6" t="s">
        <v>17</v>
      </c>
      <c r="N50" s="6" t="s">
        <v>18</v>
      </c>
      <c r="O50" s="6" t="s">
        <v>19</v>
      </c>
      <c r="P50" s="6" t="s">
        <v>20</v>
      </c>
      <c r="Q50" s="6" t="s">
        <v>21</v>
      </c>
      <c r="S50" s="6" t="s">
        <v>30</v>
      </c>
    </row>
    <row r="51" spans="1:19" x14ac:dyDescent="0.2">
      <c r="G51" s="95"/>
      <c r="H51" s="93"/>
      <c r="M51" s="92"/>
      <c r="N51" s="92"/>
      <c r="O51" s="92"/>
      <c r="P51" s="92"/>
      <c r="Q51" s="92"/>
      <c r="S51" s="52"/>
    </row>
    <row r="52" spans="1:19" x14ac:dyDescent="0.2">
      <c r="G52" s="95"/>
      <c r="H52" s="93"/>
      <c r="M52" s="92"/>
      <c r="N52" s="92"/>
      <c r="O52" s="92"/>
      <c r="P52" s="92"/>
      <c r="Q52" s="92"/>
    </row>
    <row r="53" spans="1:19" x14ac:dyDescent="0.2">
      <c r="B53" s="135"/>
      <c r="C53" s="142"/>
      <c r="D53" s="135"/>
      <c r="E53" s="135"/>
      <c r="F53" s="135"/>
      <c r="G53" s="143"/>
      <c r="H53" s="139"/>
      <c r="I53" s="135"/>
      <c r="J53" s="144"/>
      <c r="K53" s="144"/>
      <c r="L53" s="144"/>
      <c r="M53" s="141"/>
      <c r="N53" s="141"/>
      <c r="O53" s="141"/>
      <c r="P53" s="141"/>
      <c r="Q53" s="141"/>
    </row>
    <row r="54" spans="1:19" x14ac:dyDescent="0.2">
      <c r="B54" s="135"/>
      <c r="C54" s="142"/>
      <c r="D54" s="135"/>
      <c r="E54" s="135"/>
      <c r="F54" s="135"/>
      <c r="G54" s="143"/>
      <c r="H54" s="139"/>
      <c r="I54" s="135"/>
      <c r="J54" s="144"/>
      <c r="K54" s="144"/>
      <c r="L54" s="144"/>
      <c r="M54" s="141"/>
      <c r="N54" s="141"/>
      <c r="O54" s="141"/>
      <c r="P54" s="141"/>
      <c r="Q54" s="141"/>
    </row>
    <row r="55" spans="1:19" x14ac:dyDescent="0.2">
      <c r="B55" s="135"/>
      <c r="C55" s="142"/>
      <c r="D55" s="135"/>
      <c r="E55" s="135"/>
      <c r="F55" s="135"/>
      <c r="G55" s="143"/>
      <c r="H55" s="139"/>
      <c r="I55" s="135"/>
      <c r="J55" s="144"/>
      <c r="K55" s="144"/>
      <c r="L55" s="144"/>
      <c r="M55" s="141"/>
      <c r="N55" s="141"/>
      <c r="O55" s="141"/>
      <c r="P55" s="141"/>
      <c r="Q55" s="141"/>
    </row>
    <row r="56" spans="1:19" x14ac:dyDescent="0.2">
      <c r="B56" s="135"/>
      <c r="C56" s="142"/>
      <c r="D56" s="135"/>
      <c r="E56" s="135"/>
      <c r="F56" s="135"/>
      <c r="G56" s="143"/>
      <c r="H56" s="139"/>
      <c r="I56" s="135"/>
      <c r="J56" s="144"/>
      <c r="K56" s="144"/>
      <c r="L56" s="144"/>
      <c r="M56" s="141"/>
      <c r="N56" s="141"/>
      <c r="O56" s="141"/>
      <c r="P56" s="141"/>
      <c r="Q56" s="141"/>
    </row>
    <row r="57" spans="1:19" x14ac:dyDescent="0.2">
      <c r="J57" s="33"/>
      <c r="K57" s="33"/>
      <c r="L57" s="33"/>
      <c r="M57" s="33"/>
      <c r="N57" s="33"/>
      <c r="O57" s="33"/>
      <c r="P57" s="33"/>
      <c r="Q57" s="33"/>
      <c r="S57" s="68"/>
    </row>
    <row r="58" spans="1:19" x14ac:dyDescent="0.2">
      <c r="B58" s="4" t="s">
        <v>41</v>
      </c>
      <c r="J58" s="33"/>
      <c r="K58" s="33"/>
      <c r="L58" s="33"/>
      <c r="M58" s="33"/>
      <c r="N58" s="33"/>
      <c r="O58" s="33"/>
      <c r="P58" s="33"/>
      <c r="Q58" s="33"/>
      <c r="S58" s="68"/>
    </row>
    <row r="59" spans="1:19" ht="13.5" thickBot="1" x14ac:dyDescent="0.25">
      <c r="B59" s="83" t="str">
        <f ca="1">"CitiPower "&amp;$A$2</f>
        <v>CitiPower Security of Critical Infr</v>
      </c>
      <c r="C59" s="84" t="s">
        <v>96</v>
      </c>
      <c r="D59" s="83"/>
      <c r="E59" s="83"/>
      <c r="F59" s="83"/>
      <c r="G59" s="85" t="s">
        <v>101</v>
      </c>
      <c r="H59" s="86"/>
      <c r="I59" s="83"/>
      <c r="J59" s="87"/>
      <c r="K59" s="87"/>
      <c r="L59" s="88"/>
      <c r="M59" s="88">
        <v>2416.1422739717573</v>
      </c>
      <c r="N59" s="88">
        <v>1709.7629208919104</v>
      </c>
      <c r="O59" s="88">
        <v>1652.8670470000197</v>
      </c>
      <c r="P59" s="88">
        <v>1534.3399241136399</v>
      </c>
      <c r="Q59" s="88">
        <v>1546.2167137960173</v>
      </c>
      <c r="R59" s="37"/>
      <c r="S59" s="88">
        <f>SUM(M59:Q59)</f>
        <v>8859.3288797733439</v>
      </c>
    </row>
    <row r="60" spans="1:19" ht="13.5" thickTop="1" x14ac:dyDescent="0.2">
      <c r="C60" s="64"/>
      <c r="G60" s="124"/>
      <c r="J60" s="33"/>
      <c r="K60" s="33"/>
      <c r="L60" s="33"/>
      <c r="M60" s="37"/>
      <c r="N60" s="37"/>
      <c r="O60" s="37"/>
      <c r="P60" s="37"/>
      <c r="Q60" s="37"/>
      <c r="S60" s="125"/>
    </row>
    <row r="61" spans="1:19" x14ac:dyDescent="0.2">
      <c r="J61" s="33"/>
      <c r="K61" s="33"/>
      <c r="L61" s="33"/>
      <c r="M61" s="33"/>
      <c r="N61" s="33"/>
      <c r="O61" s="33"/>
      <c r="P61" s="33"/>
      <c r="Q61" s="33"/>
      <c r="S61" s="33"/>
    </row>
    <row r="99" spans="19:19" x14ac:dyDescent="0.2">
      <c r="S99" s="54"/>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9">
    <tabColor rgb="FF00FF00"/>
  </sheetPr>
  <dimension ref="A1:Z71"/>
  <sheetViews>
    <sheetView showGridLines="0" zoomScale="80" zoomScaleNormal="80" workbookViewId="0">
      <pane xSplit="2" ySplit="2" topLeftCell="C15" activePane="bottomRight" state="frozen"/>
      <selection activeCell="K43" sqref="K43"/>
      <selection pane="topRight" activeCell="K43" sqref="K43"/>
      <selection pane="bottomLeft" activeCell="K43" sqref="K43"/>
      <selection pane="bottomRight" activeCell="A54" sqref="A54"/>
    </sheetView>
  </sheetViews>
  <sheetFormatPr defaultColWidth="9" defaultRowHeight="12.75" x14ac:dyDescent="0.2"/>
  <cols>
    <col min="1" max="1" width="4.25" style="1" customWidth="1"/>
    <col min="2" max="2" width="50.625" style="1" customWidth="1"/>
    <col min="3" max="3" width="18.75" style="1" customWidth="1"/>
    <col min="4" max="4" width="6.875" style="1" customWidth="1"/>
    <col min="5" max="5" width="4.375" style="1" customWidth="1"/>
    <col min="6" max="6" width="2.5" style="1" customWidth="1"/>
    <col min="7" max="7" width="11.625" style="1" customWidth="1"/>
    <col min="8" max="11" width="0.875" style="1" customWidth="1"/>
    <col min="12" max="13" width="10.25" style="1" customWidth="1"/>
    <col min="14" max="14" width="10.5" style="1" customWidth="1"/>
    <col min="15" max="15" width="10.75" style="1" customWidth="1"/>
    <col min="16" max="17" width="10.875" style="1" bestFit="1" customWidth="1"/>
    <col min="18" max="18" width="3.25" style="1" customWidth="1"/>
    <col min="19" max="25" width="9" style="1"/>
    <col min="26" max="26" width="18.375" style="1" customWidth="1"/>
    <col min="27" max="16384" width="9" style="1"/>
  </cols>
  <sheetData>
    <row r="1" spans="1:26" ht="21" x14ac:dyDescent="0.35">
      <c r="A1" s="3" t="s">
        <v>7</v>
      </c>
      <c r="C1" s="128" t="s">
        <v>99</v>
      </c>
      <c r="D1" s="123" t="s">
        <v>100</v>
      </c>
    </row>
    <row r="2" spans="1:26" ht="18.75" x14ac:dyDescent="0.3">
      <c r="A2" s="7" t="s">
        <v>25</v>
      </c>
      <c r="G2" s="43"/>
      <c r="H2" s="43"/>
    </row>
    <row r="3" spans="1:26" x14ac:dyDescent="0.2">
      <c r="A3" s="1" t="s">
        <v>25</v>
      </c>
      <c r="G3" s="43"/>
      <c r="H3" s="43"/>
    </row>
    <row r="4" spans="1:26" ht="12.75" customHeight="1" x14ac:dyDescent="0.2"/>
    <row r="5" spans="1:26" ht="12.75" customHeight="1" x14ac:dyDescent="0.2"/>
    <row r="6" spans="1:26" ht="12.75" customHeight="1" x14ac:dyDescent="0.2"/>
    <row r="7" spans="1:26" ht="12.75" customHeight="1" x14ac:dyDescent="0.2"/>
    <row r="8" spans="1:26" ht="12.75" customHeight="1" x14ac:dyDescent="0.2"/>
    <row r="9" spans="1:26" x14ac:dyDescent="0.2">
      <c r="A9" s="2" t="s">
        <v>22</v>
      </c>
      <c r="B9" s="2"/>
      <c r="C9" s="2"/>
      <c r="D9" s="2"/>
      <c r="E9" s="2"/>
      <c r="F9" s="2"/>
      <c r="G9" s="56"/>
      <c r="H9" s="56"/>
      <c r="I9" s="2"/>
      <c r="J9" s="2"/>
      <c r="K9" s="6"/>
      <c r="L9" s="6"/>
      <c r="M9" s="6"/>
      <c r="N9" s="6"/>
      <c r="O9" s="6"/>
      <c r="P9" s="6"/>
      <c r="Q9" s="6"/>
    </row>
    <row r="10" spans="1:26" ht="12.75" customHeight="1" x14ac:dyDescent="0.2"/>
    <row r="11" spans="1:26" ht="12.75" customHeight="1" x14ac:dyDescent="0.2">
      <c r="A11" s="1" t="s">
        <v>10</v>
      </c>
      <c r="C11" s="121">
        <v>2019</v>
      </c>
    </row>
    <row r="12" spans="1:26" ht="12.75" customHeight="1" x14ac:dyDescent="0.2"/>
    <row r="13" spans="1:26" x14ac:dyDescent="0.2">
      <c r="B13" s="4" t="s">
        <v>66</v>
      </c>
      <c r="U13" s="33"/>
      <c r="V13" s="33"/>
      <c r="W13" s="33"/>
      <c r="X13" s="33"/>
      <c r="Y13" s="33"/>
      <c r="Z13" s="33"/>
    </row>
    <row r="14" spans="1:26" x14ac:dyDescent="0.2">
      <c r="B14" s="1" t="s">
        <v>67</v>
      </c>
      <c r="C14" s="133">
        <v>1500</v>
      </c>
      <c r="U14" s="33"/>
      <c r="V14" s="33"/>
      <c r="W14" s="33"/>
      <c r="X14" s="33"/>
      <c r="Y14" s="33"/>
      <c r="Z14" s="33"/>
    </row>
    <row r="15" spans="1:26" ht="12.75" customHeight="1" x14ac:dyDescent="0.2"/>
    <row r="16" spans="1:26" ht="12.75" customHeight="1" x14ac:dyDescent="0.2"/>
    <row r="17" spans="1:26" x14ac:dyDescent="0.2">
      <c r="B17" s="1" t="s">
        <v>38</v>
      </c>
      <c r="M17" s="97" t="s">
        <v>17</v>
      </c>
      <c r="N17" s="97" t="s">
        <v>18</v>
      </c>
      <c r="O17" s="97" t="s">
        <v>19</v>
      </c>
      <c r="P17" s="97" t="s">
        <v>20</v>
      </c>
      <c r="Q17" s="97" t="s">
        <v>21</v>
      </c>
      <c r="S17" s="97" t="s">
        <v>5</v>
      </c>
      <c r="U17" s="53"/>
      <c r="V17" s="53"/>
      <c r="W17" s="53"/>
      <c r="X17" s="53"/>
      <c r="Y17" s="53"/>
      <c r="Z17" s="53"/>
    </row>
    <row r="18" spans="1:26" x14ac:dyDescent="0.2">
      <c r="B18" s="1" t="s">
        <v>68</v>
      </c>
      <c r="M18" s="98">
        <v>89</v>
      </c>
      <c r="N18" s="98">
        <v>79</v>
      </c>
      <c r="O18" s="98">
        <v>100</v>
      </c>
      <c r="P18" s="98">
        <v>48</v>
      </c>
      <c r="Q18" s="98">
        <v>45</v>
      </c>
      <c r="S18" s="99">
        <f>SUM(M18:Q18)</f>
        <v>361</v>
      </c>
      <c r="U18" s="53"/>
      <c r="V18" s="53"/>
      <c r="W18" s="53"/>
      <c r="X18" s="53"/>
      <c r="Y18" s="53"/>
      <c r="Z18" s="53"/>
    </row>
    <row r="19" spans="1:26" ht="12.75" customHeight="1" x14ac:dyDescent="0.2"/>
    <row r="20" spans="1:26" ht="12.75" customHeight="1" x14ac:dyDescent="0.2"/>
    <row r="21" spans="1:26" ht="12.75" customHeight="1" x14ac:dyDescent="0.2">
      <c r="A21" s="4" t="s">
        <v>69</v>
      </c>
      <c r="B21" s="4"/>
      <c r="C21" s="100"/>
      <c r="D21" s="4"/>
      <c r="E21" s="4"/>
      <c r="F21" s="4"/>
      <c r="G21" s="4"/>
      <c r="H21" s="4"/>
      <c r="I21" s="4"/>
      <c r="J21" s="4"/>
      <c r="K21" s="4"/>
      <c r="L21" s="4"/>
    </row>
    <row r="22" spans="1:26" ht="12.75" customHeight="1" x14ac:dyDescent="0.2">
      <c r="A22" s="1" t="s">
        <v>70</v>
      </c>
      <c r="C22" s="96">
        <v>6663</v>
      </c>
      <c r="D22" s="4"/>
      <c r="E22" s="4"/>
      <c r="F22" s="4"/>
      <c r="G22" s="4"/>
      <c r="H22" s="4"/>
      <c r="I22" s="4"/>
      <c r="J22" s="4"/>
      <c r="K22" s="4"/>
      <c r="L22" s="4"/>
    </row>
    <row r="23" spans="1:26" ht="12.75" customHeight="1" x14ac:dyDescent="0.2">
      <c r="A23" s="1" t="s">
        <v>71</v>
      </c>
      <c r="C23" s="96">
        <v>7166</v>
      </c>
      <c r="D23" s="4"/>
      <c r="E23" s="4"/>
      <c r="F23" s="4"/>
      <c r="G23" s="4"/>
      <c r="H23" s="4"/>
      <c r="I23" s="4"/>
      <c r="J23" s="4"/>
      <c r="K23" s="4"/>
      <c r="L23" s="4"/>
    </row>
    <row r="24" spans="1:26" ht="12.75" customHeight="1" x14ac:dyDescent="0.2">
      <c r="A24" s="1" t="s">
        <v>72</v>
      </c>
      <c r="C24" s="96">
        <v>1215</v>
      </c>
      <c r="D24" s="4"/>
      <c r="E24" s="4"/>
      <c r="F24" s="4"/>
      <c r="G24" s="4"/>
      <c r="H24" s="4"/>
      <c r="I24" s="4"/>
      <c r="J24" s="4"/>
      <c r="K24" s="4"/>
      <c r="L24" s="4"/>
    </row>
    <row r="25" spans="1:26" ht="12.75" customHeight="1" x14ac:dyDescent="0.2"/>
    <row r="26" spans="1:26" ht="12.75" customHeight="1" x14ac:dyDescent="0.2">
      <c r="C26" s="101"/>
      <c r="D26" s="101"/>
      <c r="E26" s="101"/>
      <c r="F26" s="101"/>
      <c r="G26" s="101"/>
      <c r="H26" s="101"/>
      <c r="I26" s="101"/>
      <c r="J26" s="101"/>
      <c r="K26" s="101"/>
      <c r="L26" s="101"/>
      <c r="M26" s="53"/>
    </row>
    <row r="27" spans="1:26" ht="12.75" customHeight="1" x14ac:dyDescent="0.2">
      <c r="A27" s="4" t="s">
        <v>73</v>
      </c>
      <c r="B27" s="4"/>
      <c r="C27" s="102"/>
      <c r="D27" s="101"/>
      <c r="E27" s="101"/>
      <c r="F27" s="101"/>
      <c r="G27" s="101"/>
      <c r="H27" s="101"/>
      <c r="I27" s="101"/>
      <c r="J27" s="101"/>
      <c r="K27" s="101"/>
      <c r="L27" s="101"/>
      <c r="M27" s="53"/>
    </row>
    <row r="28" spans="1:26" ht="12.75" customHeight="1" x14ac:dyDescent="0.2">
      <c r="A28" s="1" t="s">
        <v>74</v>
      </c>
      <c r="C28" s="96">
        <v>129983</v>
      </c>
      <c r="D28" s="101"/>
      <c r="E28" s="101"/>
      <c r="F28" s="101"/>
      <c r="G28" s="101"/>
      <c r="H28" s="101"/>
      <c r="I28" s="101"/>
      <c r="J28" s="101"/>
      <c r="K28" s="101"/>
      <c r="L28" s="101"/>
      <c r="M28" s="53"/>
    </row>
    <row r="29" spans="1:26" ht="12.75" customHeight="1" x14ac:dyDescent="0.2">
      <c r="A29" s="1" t="s">
        <v>75</v>
      </c>
      <c r="C29" s="96">
        <v>14320</v>
      </c>
      <c r="D29" s="101"/>
      <c r="E29" s="101"/>
      <c r="F29" s="101"/>
      <c r="G29" s="101"/>
      <c r="H29" s="101"/>
      <c r="I29" s="101"/>
      <c r="J29" s="101"/>
      <c r="K29" s="101"/>
      <c r="L29" s="101"/>
      <c r="M29" s="53"/>
    </row>
    <row r="30" spans="1:26" ht="12.75" customHeight="1" x14ac:dyDescent="0.2">
      <c r="A30" s="1" t="s">
        <v>76</v>
      </c>
      <c r="C30" s="24">
        <f>SUM(C28:C29)</f>
        <v>144303</v>
      </c>
      <c r="D30" s="101"/>
      <c r="E30" s="101"/>
      <c r="F30" s="101"/>
      <c r="G30" s="101"/>
      <c r="H30" s="101"/>
      <c r="I30" s="101"/>
      <c r="J30" s="101"/>
      <c r="K30" s="101"/>
      <c r="L30" s="101"/>
      <c r="M30" s="53"/>
    </row>
    <row r="31" spans="1:26" ht="12.75" customHeight="1" x14ac:dyDescent="0.2">
      <c r="A31" s="1" t="s">
        <v>77</v>
      </c>
      <c r="C31" s="103">
        <f>C23</f>
        <v>7166</v>
      </c>
      <c r="D31" s="101"/>
      <c r="E31" s="101"/>
      <c r="F31" s="101"/>
      <c r="G31" s="101"/>
      <c r="H31" s="101"/>
      <c r="I31" s="101"/>
      <c r="J31" s="101"/>
      <c r="K31" s="101"/>
      <c r="L31" s="101"/>
      <c r="M31" s="53"/>
    </row>
    <row r="32" spans="1:26" ht="12.75" customHeight="1" x14ac:dyDescent="0.2">
      <c r="A32" s="4" t="s">
        <v>78</v>
      </c>
      <c r="B32" s="4"/>
      <c r="C32" s="104">
        <f>C31/C30</f>
        <v>4.9659397240528612E-2</v>
      </c>
      <c r="D32" s="101"/>
      <c r="E32" s="101"/>
      <c r="F32" s="101"/>
      <c r="G32" s="101"/>
      <c r="H32" s="101"/>
      <c r="I32" s="101"/>
      <c r="J32" s="101"/>
      <c r="K32" s="101"/>
      <c r="L32" s="101"/>
      <c r="M32" s="53"/>
    </row>
    <row r="33" spans="1:21" ht="12.75" customHeight="1" x14ac:dyDescent="0.2">
      <c r="A33" s="4"/>
      <c r="B33" s="4"/>
      <c r="C33" s="104"/>
      <c r="D33" s="101"/>
      <c r="E33" s="101"/>
      <c r="F33" s="101"/>
      <c r="G33" s="101"/>
      <c r="H33" s="101"/>
      <c r="I33" s="101"/>
      <c r="J33" s="101"/>
      <c r="K33" s="101"/>
      <c r="L33" s="101"/>
      <c r="M33" s="53"/>
    </row>
    <row r="34" spans="1:21" ht="12.75" customHeight="1" x14ac:dyDescent="0.2">
      <c r="A34" s="4" t="s">
        <v>79</v>
      </c>
      <c r="C34" s="30" t="s">
        <v>61</v>
      </c>
      <c r="D34" s="101"/>
      <c r="I34"/>
      <c r="J34" s="101"/>
      <c r="K34" s="101"/>
      <c r="L34" s="101"/>
      <c r="M34" s="53"/>
    </row>
    <row r="35" spans="1:21" ht="12.75" customHeight="1" x14ac:dyDescent="0.2">
      <c r="A35" s="1" t="s">
        <v>74</v>
      </c>
      <c r="C35" s="105">
        <v>0.7</v>
      </c>
      <c r="D35" s="101"/>
      <c r="I35"/>
      <c r="J35" s="101"/>
      <c r="K35" s="101"/>
      <c r="L35" s="101"/>
      <c r="M35" s="53"/>
    </row>
    <row r="36" spans="1:21" ht="12.75" customHeight="1" x14ac:dyDescent="0.2">
      <c r="A36" s="1" t="s">
        <v>75</v>
      </c>
      <c r="C36" s="105">
        <v>0.3</v>
      </c>
      <c r="D36" s="101"/>
      <c r="I36"/>
      <c r="J36" s="101"/>
      <c r="K36" s="101"/>
      <c r="L36" s="101"/>
      <c r="M36" s="53"/>
    </row>
    <row r="37" spans="1:21" ht="12.75" customHeight="1" x14ac:dyDescent="0.2">
      <c r="A37" s="1" t="s">
        <v>80</v>
      </c>
      <c r="C37" s="101">
        <f>SUM(C35:C36)</f>
        <v>1</v>
      </c>
      <c r="D37" s="101"/>
      <c r="I37"/>
      <c r="J37" s="101"/>
      <c r="K37" s="101"/>
      <c r="L37" s="101"/>
      <c r="M37" s="53"/>
    </row>
    <row r="38" spans="1:21" ht="12.75" customHeight="1" x14ac:dyDescent="0.2">
      <c r="D38" s="101"/>
      <c r="E38" s="101"/>
      <c r="F38" s="101"/>
      <c r="G38" s="101"/>
      <c r="H38" s="101"/>
      <c r="I38" s="101"/>
      <c r="J38" s="101"/>
      <c r="K38" s="101"/>
      <c r="L38" s="101"/>
    </row>
    <row r="39" spans="1:21" ht="12.75" customHeight="1" x14ac:dyDescent="0.2">
      <c r="A39" s="4" t="s">
        <v>81</v>
      </c>
      <c r="B39" s="4"/>
      <c r="C39" s="106"/>
      <c r="D39" s="101"/>
      <c r="E39" s="101"/>
      <c r="F39" s="101"/>
      <c r="G39" s="101"/>
      <c r="H39" s="101"/>
      <c r="I39" s="101"/>
      <c r="J39" s="101"/>
      <c r="K39" s="101"/>
      <c r="L39" s="101"/>
    </row>
    <row r="40" spans="1:21" ht="12.75" customHeight="1" x14ac:dyDescent="0.2">
      <c r="A40" s="1" t="s">
        <v>82</v>
      </c>
      <c r="C40" s="107">
        <v>235000</v>
      </c>
      <c r="D40" s="101"/>
      <c r="E40" s="101"/>
      <c r="F40" s="101"/>
      <c r="G40" s="101"/>
      <c r="H40" s="101"/>
      <c r="I40" s="101"/>
      <c r="J40" s="101"/>
      <c r="K40" s="101"/>
      <c r="L40" s="101"/>
      <c r="U40" s="25"/>
    </row>
    <row r="41" spans="1:21" ht="12.75" customHeight="1" x14ac:dyDescent="0.2">
      <c r="A41" s="1" t="s">
        <v>83</v>
      </c>
      <c r="C41" s="108">
        <v>130</v>
      </c>
      <c r="D41" s="101"/>
      <c r="E41" s="101"/>
      <c r="F41" s="101"/>
      <c r="G41" s="101"/>
      <c r="H41" s="101"/>
      <c r="I41" s="101"/>
      <c r="J41" s="101"/>
      <c r="K41" s="101"/>
      <c r="L41" s="101"/>
      <c r="U41" s="25"/>
    </row>
    <row r="42" spans="1:21" ht="12.75" customHeight="1" x14ac:dyDescent="0.2">
      <c r="D42" s="101"/>
      <c r="E42" s="101"/>
      <c r="F42" s="101"/>
      <c r="G42" s="101"/>
      <c r="H42" s="101"/>
      <c r="I42" s="101"/>
      <c r="J42" s="101"/>
      <c r="K42" s="101"/>
      <c r="L42" s="101"/>
      <c r="U42" s="25"/>
    </row>
    <row r="43" spans="1:21" ht="12.75" customHeight="1" x14ac:dyDescent="0.2">
      <c r="A43" s="4" t="s">
        <v>84</v>
      </c>
      <c r="D43" s="101"/>
      <c r="E43" s="101"/>
      <c r="F43" s="101"/>
      <c r="G43" s="101"/>
      <c r="H43" s="101"/>
      <c r="I43" s="101"/>
      <c r="J43" s="101"/>
      <c r="K43" s="101"/>
      <c r="L43" s="101"/>
      <c r="U43" s="25"/>
    </row>
    <row r="44" spans="1:21" ht="12.75" customHeight="1" x14ac:dyDescent="0.2">
      <c r="A44" s="1" t="s">
        <v>38</v>
      </c>
      <c r="D44" s="101"/>
      <c r="E44" s="101"/>
      <c r="F44" s="101"/>
      <c r="G44" s="101"/>
      <c r="H44" s="101"/>
      <c r="I44" s="101"/>
      <c r="K44" s="101"/>
      <c r="L44" s="1">
        <v>2020</v>
      </c>
      <c r="M44" s="1">
        <v>2021</v>
      </c>
      <c r="N44" s="1">
        <v>2022</v>
      </c>
      <c r="O44" s="1">
        <v>2023</v>
      </c>
      <c r="P44" s="1">
        <v>2024</v>
      </c>
      <c r="Q44" s="1">
        <v>2025</v>
      </c>
      <c r="U44" s="25"/>
    </row>
    <row r="45" spans="1:21" ht="12.75" customHeight="1" x14ac:dyDescent="0.2">
      <c r="A45" s="1" t="s">
        <v>6</v>
      </c>
      <c r="D45" s="101"/>
      <c r="E45" s="101"/>
      <c r="F45" s="101"/>
      <c r="G45" s="101"/>
      <c r="H45" s="101"/>
      <c r="I45" s="101"/>
      <c r="K45" s="101"/>
      <c r="L45" s="96">
        <v>24448.051813219245</v>
      </c>
      <c r="M45" s="96">
        <v>35868.210825488837</v>
      </c>
      <c r="N45" s="96">
        <v>49841.675008239028</v>
      </c>
      <c r="O45" s="96">
        <v>64688.647089408951</v>
      </c>
      <c r="P45" s="96">
        <v>69761.48178177877</v>
      </c>
      <c r="Q45" s="96">
        <v>73844.840019892945</v>
      </c>
      <c r="U45" s="25"/>
    </row>
    <row r="46" spans="1:21" ht="12.75" customHeight="1" x14ac:dyDescent="0.2">
      <c r="A46" s="1" t="s">
        <v>85</v>
      </c>
      <c r="D46" s="101"/>
      <c r="E46" s="101"/>
      <c r="F46" s="101"/>
      <c r="G46" s="101"/>
      <c r="H46" s="101"/>
      <c r="I46" s="101"/>
      <c r="K46" s="101"/>
      <c r="L46" s="101"/>
      <c r="M46" s="109">
        <f>(M45-L45)*$C$32</f>
        <v>567.11821294029858</v>
      </c>
      <c r="N46" s="109">
        <f>(N45-M45)*$C$32</f>
        <v>693.91380867749024</v>
      </c>
      <c r="O46" s="109">
        <f>(O45-N45)*$C$32</f>
        <v>737.29168439785497</v>
      </c>
      <c r="P46" s="109">
        <f>(P45-O45)*$C$32</f>
        <v>251.91391312392761</v>
      </c>
      <c r="Q46" s="109">
        <f>(Q45-P45)*$C$32</f>
        <v>202.77710882189683</v>
      </c>
      <c r="U46" s="25"/>
    </row>
    <row r="47" spans="1:21" ht="12.75" customHeight="1" x14ac:dyDescent="0.2">
      <c r="D47" s="101"/>
      <c r="E47" s="101"/>
      <c r="F47" s="101"/>
      <c r="G47" s="101"/>
      <c r="H47" s="101"/>
      <c r="I47" s="101"/>
      <c r="J47" s="101"/>
      <c r="K47" s="101"/>
      <c r="L47" s="101"/>
      <c r="U47" s="25"/>
    </row>
    <row r="48" spans="1:21" ht="12.75" customHeight="1" x14ac:dyDescent="0.2">
      <c r="D48" s="101"/>
      <c r="E48" s="101"/>
      <c r="F48" s="101"/>
      <c r="G48" s="101"/>
      <c r="H48" s="101"/>
      <c r="I48" s="101"/>
      <c r="J48" s="101"/>
      <c r="K48" s="101"/>
      <c r="L48" s="101"/>
      <c r="U48" s="25"/>
    </row>
    <row r="49" spans="1:21" x14ac:dyDescent="0.2">
      <c r="A49" s="4" t="s">
        <v>86</v>
      </c>
      <c r="B49" s="4"/>
      <c r="D49" s="101"/>
      <c r="E49" s="101"/>
      <c r="F49" s="101"/>
      <c r="G49" s="101"/>
      <c r="H49" s="101"/>
      <c r="I49" s="101"/>
      <c r="J49" s="101"/>
      <c r="K49" s="101"/>
      <c r="L49" s="101"/>
      <c r="M49" s="97" t="s">
        <v>17</v>
      </c>
      <c r="N49" s="97" t="s">
        <v>18</v>
      </c>
      <c r="O49" s="97" t="s">
        <v>19</v>
      </c>
      <c r="P49" s="97" t="s">
        <v>20</v>
      </c>
      <c r="Q49" s="97" t="s">
        <v>21</v>
      </c>
    </row>
    <row r="50" spans="1:21" x14ac:dyDescent="0.2">
      <c r="A50" s="1" t="s">
        <v>87</v>
      </c>
      <c r="D50" s="101"/>
      <c r="E50" s="101"/>
      <c r="F50" s="101"/>
      <c r="G50" s="101"/>
      <c r="H50" s="101"/>
      <c r="I50" s="101"/>
      <c r="J50" s="101"/>
      <c r="K50" s="101"/>
      <c r="L50" s="101"/>
      <c r="M50" s="110">
        <v>1</v>
      </c>
      <c r="N50" s="110">
        <v>0</v>
      </c>
      <c r="O50" s="110">
        <v>0</v>
      </c>
      <c r="P50" s="110">
        <v>0</v>
      </c>
      <c r="Q50" s="110">
        <v>0</v>
      </c>
    </row>
    <row r="51" spans="1:21" x14ac:dyDescent="0.2">
      <c r="A51" s="1" t="s">
        <v>88</v>
      </c>
      <c r="M51" s="110">
        <v>0.2</v>
      </c>
      <c r="N51" s="110">
        <v>0.2</v>
      </c>
      <c r="O51" s="110">
        <v>0.2</v>
      </c>
      <c r="P51" s="110">
        <v>0.2</v>
      </c>
      <c r="Q51" s="110">
        <v>0.2</v>
      </c>
    </row>
    <row r="53" spans="1:21" ht="12.75" customHeight="1" x14ac:dyDescent="0.2">
      <c r="U53" s="25"/>
    </row>
    <row r="54" spans="1:21" x14ac:dyDescent="0.2">
      <c r="A54" s="2" t="s">
        <v>8</v>
      </c>
      <c r="B54" s="2"/>
      <c r="C54" s="2"/>
      <c r="D54" s="2"/>
      <c r="E54" s="2"/>
      <c r="F54" s="2"/>
      <c r="G54" s="56"/>
      <c r="H54" s="56"/>
      <c r="I54" s="2"/>
      <c r="J54" s="2"/>
      <c r="K54" s="6"/>
      <c r="L54" s="6"/>
      <c r="M54" s="6"/>
      <c r="N54" s="6"/>
      <c r="O54" s="6"/>
      <c r="P54" s="6"/>
      <c r="Q54" s="6"/>
    </row>
    <row r="55" spans="1:21" ht="12.75" customHeight="1" x14ac:dyDescent="0.2">
      <c r="U55" s="25"/>
    </row>
    <row r="56" spans="1:21" x14ac:dyDescent="0.2">
      <c r="A56" s="111"/>
      <c r="B56" s="111"/>
      <c r="C56" s="112"/>
      <c r="D56" s="112"/>
      <c r="E56" s="112"/>
      <c r="F56" s="112"/>
      <c r="G56" s="112"/>
      <c r="H56" s="112"/>
      <c r="I56" s="112"/>
      <c r="J56" s="112"/>
      <c r="K56" s="112"/>
      <c r="L56" s="112"/>
      <c r="M56" s="97" t="s">
        <v>17</v>
      </c>
      <c r="N56" s="97" t="s">
        <v>18</v>
      </c>
      <c r="O56" s="97" t="s">
        <v>19</v>
      </c>
      <c r="P56" s="97" t="s">
        <v>20</v>
      </c>
      <c r="Q56" s="97" t="s">
        <v>21</v>
      </c>
      <c r="R56" s="30"/>
      <c r="S56" s="97" t="s">
        <v>5</v>
      </c>
    </row>
    <row r="57" spans="1:21" x14ac:dyDescent="0.2">
      <c r="B57" s="94" t="s">
        <v>89</v>
      </c>
      <c r="M57" s="30"/>
      <c r="N57" s="30"/>
      <c r="O57" s="30"/>
      <c r="P57" s="30"/>
      <c r="Q57" s="30"/>
      <c r="R57" s="30"/>
      <c r="S57" s="30"/>
    </row>
    <row r="58" spans="1:21" ht="12.75" customHeight="1" x14ac:dyDescent="0.2">
      <c r="B58" s="1" t="s">
        <v>90</v>
      </c>
      <c r="M58" s="113">
        <f t="shared" ref="M58:Q59" si="0">$C$40*M50/1000*$C$36</f>
        <v>70.5</v>
      </c>
      <c r="N58" s="113">
        <f t="shared" si="0"/>
        <v>0</v>
      </c>
      <c r="O58" s="113">
        <f t="shared" si="0"/>
        <v>0</v>
      </c>
      <c r="P58" s="113">
        <f t="shared" si="0"/>
        <v>0</v>
      </c>
      <c r="Q58" s="113">
        <f t="shared" si="0"/>
        <v>0</v>
      </c>
      <c r="R58" s="113"/>
      <c r="S58" s="114">
        <f>SUM(M58:Q58)</f>
        <v>70.5</v>
      </c>
      <c r="U58" s="25"/>
    </row>
    <row r="59" spans="1:21" ht="12.75" customHeight="1" x14ac:dyDescent="0.2">
      <c r="B59" s="1" t="s">
        <v>91</v>
      </c>
      <c r="M59" s="113">
        <f t="shared" si="0"/>
        <v>14.1</v>
      </c>
      <c r="N59" s="113">
        <f t="shared" si="0"/>
        <v>14.1</v>
      </c>
      <c r="O59" s="113">
        <f t="shared" si="0"/>
        <v>14.1</v>
      </c>
      <c r="P59" s="113">
        <f t="shared" si="0"/>
        <v>14.1</v>
      </c>
      <c r="Q59" s="113">
        <f t="shared" si="0"/>
        <v>14.1</v>
      </c>
      <c r="R59" s="113"/>
      <c r="S59" s="114">
        <f>SUM(M59:Q59)</f>
        <v>70.5</v>
      </c>
      <c r="U59" s="25"/>
    </row>
    <row r="60" spans="1:21" ht="12.75" customHeight="1" x14ac:dyDescent="0.2">
      <c r="B60" s="112" t="s">
        <v>92</v>
      </c>
      <c r="C60" s="112"/>
      <c r="D60" s="112"/>
      <c r="E60" s="112"/>
      <c r="F60" s="112"/>
      <c r="G60" s="112"/>
      <c r="H60" s="112"/>
      <c r="I60" s="112"/>
      <c r="J60" s="112"/>
      <c r="K60" s="112"/>
      <c r="L60" s="112"/>
      <c r="M60" s="115">
        <f>M46*$C$41/1000</f>
        <v>73.725367682238812</v>
      </c>
      <c r="N60" s="115">
        <f>N46*$C$41/1000</f>
        <v>90.208795128073731</v>
      </c>
      <c r="O60" s="115">
        <f>O46*$C$41/1000</f>
        <v>95.847918971721143</v>
      </c>
      <c r="P60" s="115">
        <f>P46*$C$41/1000</f>
        <v>32.748808706110587</v>
      </c>
      <c r="Q60" s="115">
        <f>Q46*$C$41/1000</f>
        <v>26.361024146846585</v>
      </c>
      <c r="R60" s="113"/>
      <c r="S60" s="114">
        <f>SUM(M60:Q60)</f>
        <v>318.89191463499088</v>
      </c>
    </row>
    <row r="61" spans="1:21" ht="12.75" customHeight="1" x14ac:dyDescent="0.2">
      <c r="B61" s="4" t="s">
        <v>93</v>
      </c>
      <c r="C61" s="4"/>
      <c r="D61" s="4"/>
      <c r="E61" s="4"/>
      <c r="F61" s="4"/>
      <c r="G61" s="4"/>
      <c r="H61" s="4"/>
      <c r="I61" s="4"/>
      <c r="J61" s="4"/>
      <c r="K61" s="4"/>
      <c r="L61" s="4"/>
      <c r="M61" s="116">
        <f t="shared" ref="M61:Q61" si="1">SUM(M58:M60)</f>
        <v>158.32536768223881</v>
      </c>
      <c r="N61" s="116">
        <f t="shared" si="1"/>
        <v>104.30879512807373</v>
      </c>
      <c r="O61" s="116">
        <f t="shared" si="1"/>
        <v>109.94791897172114</v>
      </c>
      <c r="P61" s="116">
        <f t="shared" si="1"/>
        <v>46.848808706110589</v>
      </c>
      <c r="Q61" s="116">
        <f t="shared" si="1"/>
        <v>40.461024146846583</v>
      </c>
      <c r="R61" s="116"/>
      <c r="S61" s="117">
        <f>SUM(S58:S60)</f>
        <v>459.89191463499088</v>
      </c>
    </row>
    <row r="63" spans="1:21" x14ac:dyDescent="0.2">
      <c r="B63" s="112"/>
      <c r="C63" s="112"/>
      <c r="D63" s="112"/>
      <c r="E63" s="112"/>
      <c r="F63" s="112"/>
      <c r="G63" s="112"/>
      <c r="H63" s="112"/>
      <c r="I63" s="112"/>
      <c r="J63" s="112"/>
      <c r="K63" s="112"/>
      <c r="L63" s="112"/>
      <c r="M63" s="115"/>
      <c r="N63" s="115"/>
      <c r="O63" s="115"/>
      <c r="P63" s="115"/>
      <c r="Q63" s="115"/>
      <c r="R63" s="113"/>
      <c r="S63" s="114"/>
    </row>
    <row r="64" spans="1:21" x14ac:dyDescent="0.2">
      <c r="B64" s="4" t="s">
        <v>94</v>
      </c>
      <c r="C64" s="4"/>
      <c r="D64" s="4"/>
      <c r="E64" s="4"/>
      <c r="F64" s="4"/>
      <c r="G64" s="4"/>
      <c r="H64" s="4"/>
      <c r="I64" s="4"/>
      <c r="J64" s="4"/>
      <c r="K64" s="4"/>
      <c r="L64" s="4"/>
      <c r="M64" s="116">
        <f>M$18*$C$14/1000</f>
        <v>133.5</v>
      </c>
      <c r="N64" s="116">
        <f t="shared" ref="N64:Q64" si="2">N$18*$C$14/1000</f>
        <v>118.5</v>
      </c>
      <c r="O64" s="116">
        <f t="shared" si="2"/>
        <v>150</v>
      </c>
      <c r="P64" s="116">
        <f t="shared" si="2"/>
        <v>72</v>
      </c>
      <c r="Q64" s="116">
        <f t="shared" si="2"/>
        <v>67.5</v>
      </c>
      <c r="R64" s="116"/>
      <c r="S64" s="117">
        <f>SUM(M64:Q64)</f>
        <v>541.5</v>
      </c>
    </row>
    <row r="65" spans="1:21" ht="12.75" customHeight="1" x14ac:dyDescent="0.2">
      <c r="M65" s="118"/>
      <c r="N65" s="118"/>
      <c r="O65" s="118"/>
      <c r="P65" s="118"/>
      <c r="Q65" s="118"/>
      <c r="R65" s="118"/>
      <c r="S65" s="119"/>
    </row>
    <row r="66" spans="1:21" ht="12.75" customHeight="1" x14ac:dyDescent="0.2">
      <c r="B66" s="122" t="s">
        <v>95</v>
      </c>
      <c r="C66" s="112"/>
      <c r="D66" s="112"/>
      <c r="E66" s="112"/>
      <c r="F66" s="112"/>
      <c r="G66" s="126">
        <f>C11</f>
        <v>2019</v>
      </c>
      <c r="M66" s="113">
        <f>SUM(M61:M64)</f>
        <v>291.82536768223883</v>
      </c>
      <c r="N66" s="113">
        <f t="shared" ref="N66:Q66" si="3">SUM(N61:N64)</f>
        <v>222.80879512807371</v>
      </c>
      <c r="O66" s="113">
        <f t="shared" si="3"/>
        <v>259.94791897172115</v>
      </c>
      <c r="P66" s="113">
        <f t="shared" si="3"/>
        <v>118.84880870611059</v>
      </c>
      <c r="Q66" s="113">
        <f t="shared" si="3"/>
        <v>107.96102414684658</v>
      </c>
      <c r="R66" s="118"/>
      <c r="S66" s="113">
        <f>SUM(M66:Q66)</f>
        <v>1001.3919146349909</v>
      </c>
    </row>
    <row r="67" spans="1:21" ht="12.75" customHeight="1" x14ac:dyDescent="0.2">
      <c r="A67" s="4"/>
      <c r="B67" s="50" t="str">
        <f>"Total: "&amp;$A$1&amp;" "&amp;$A$2</f>
        <v>Total: CitiPower Solar enablement</v>
      </c>
      <c r="C67" s="50"/>
      <c r="D67" s="50"/>
      <c r="E67" s="50"/>
      <c r="F67" s="50"/>
      <c r="G67" s="57" t="str">
        <f>"$k"&amp;" $"&amp;Year_of_Currency</f>
        <v>$k $2020/21</v>
      </c>
      <c r="H67" s="60"/>
      <c r="I67" s="50"/>
      <c r="J67" s="50"/>
      <c r="K67" s="50"/>
      <c r="L67" s="50"/>
      <c r="M67" s="51">
        <f>SUM(M61:M64)*INDEX(Assumptions!$G$19:$M$19, MATCH($G66, Assumptions!$G$17:$M$17,0))</f>
        <v>298.63479278418458</v>
      </c>
      <c r="N67" s="51">
        <f>SUM(N61:N64)*INDEX(Assumptions!$G$19:$M$19, MATCH($G66, Assumptions!$G$17:$M$17,0))</f>
        <v>228.00779415454434</v>
      </c>
      <c r="O67" s="51">
        <f>SUM(O61:O64)*INDEX(Assumptions!$G$19:$M$19, MATCH($G66, Assumptions!$G$17:$M$17,0))</f>
        <v>266.01351874703613</v>
      </c>
      <c r="P67" s="51">
        <f>SUM(P61:P64)*INDEX(Assumptions!$G$19:$M$19, MATCH($G66, Assumptions!$G$17:$M$17,0))</f>
        <v>121.62201539395738</v>
      </c>
      <c r="Q67" s="51">
        <f>SUM(Q61:Q64)*INDEX(Assumptions!$G$19:$M$19, MATCH($G66, Assumptions!$G$17:$M$17,0))</f>
        <v>110.48017631547435</v>
      </c>
      <c r="R67" s="120"/>
      <c r="S67" s="51">
        <f>SUM(M67:Q67)</f>
        <v>1024.7582973951969</v>
      </c>
    </row>
    <row r="68" spans="1:21" ht="12.75" customHeight="1" x14ac:dyDescent="0.2">
      <c r="G68" s="43"/>
      <c r="H68" s="43"/>
      <c r="M68" s="8"/>
      <c r="N68" s="8"/>
      <c r="O68" s="8"/>
      <c r="P68" s="8"/>
      <c r="Q68" s="8"/>
      <c r="R68" s="8"/>
      <c r="S68" s="8"/>
    </row>
    <row r="69" spans="1:21" ht="12.75" customHeight="1" x14ac:dyDescent="0.2">
      <c r="B69" s="4" t="s">
        <v>41</v>
      </c>
      <c r="G69" s="43"/>
      <c r="H69" s="43"/>
      <c r="M69" s="33"/>
      <c r="N69" s="33"/>
      <c r="O69" s="33"/>
      <c r="P69" s="33"/>
      <c r="Q69" s="33"/>
      <c r="R69" s="33"/>
      <c r="S69" s="33"/>
      <c r="U69" s="33"/>
    </row>
    <row r="70" spans="1:21" ht="12.75" customHeight="1" thickBot="1" x14ac:dyDescent="0.25">
      <c r="B70" s="83" t="str">
        <f>"CitiPower "&amp;$A$2</f>
        <v>CitiPower Solar enablement</v>
      </c>
      <c r="C70" s="84"/>
      <c r="D70" s="83"/>
      <c r="E70" s="83"/>
      <c r="F70" s="83"/>
      <c r="G70" s="85" t="s">
        <v>101</v>
      </c>
      <c r="H70" s="86"/>
      <c r="I70" s="83"/>
      <c r="J70" s="83"/>
      <c r="K70" s="83"/>
      <c r="L70" s="83"/>
      <c r="M70" s="88">
        <f>M67*Assumptions!N$38</f>
        <v>300.00707496957801</v>
      </c>
      <c r="N70" s="88">
        <f>N67*Assumptions!O$38</f>
        <v>229.72823369127383</v>
      </c>
      <c r="O70" s="88">
        <f>O67*Assumptions!P$38</f>
        <v>269.05407105684708</v>
      </c>
      <c r="P70" s="88">
        <f>P67*Assumptions!Q$38</f>
        <v>123.7356354804444</v>
      </c>
      <c r="Q70" s="88">
        <f>Q67*Assumptions!R$38</f>
        <v>113.27021731253713</v>
      </c>
      <c r="R70" s="37"/>
      <c r="S70" s="88">
        <f>SUM(M70:Q70)</f>
        <v>1035.7952325106805</v>
      </c>
      <c r="U70" s="33"/>
    </row>
    <row r="71" spans="1:21" ht="12.75" customHeight="1" thickTop="1" x14ac:dyDescent="0.2"/>
  </sheetData>
  <dataConsolidate/>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rgb="FFFFFF00"/>
  </sheetPr>
  <dimension ref="A1:Y22"/>
  <sheetViews>
    <sheetView showGridLines="0" zoomScale="80" zoomScaleNormal="80" workbookViewId="0">
      <pane xSplit="2" ySplit="2" topLeftCell="C3" activePane="bottomRight" state="frozen"/>
      <selection activeCell="K43" sqref="K43"/>
      <selection pane="topRight" activeCell="K43" sqref="K43"/>
      <selection pane="bottomLeft" activeCell="K43" sqref="K43"/>
      <selection pane="bottomRight" activeCell="G1" sqref="G1"/>
    </sheetView>
  </sheetViews>
  <sheetFormatPr defaultColWidth="9" defaultRowHeight="12.75" x14ac:dyDescent="0.2"/>
  <cols>
    <col min="1" max="1" width="2" style="1" customWidth="1"/>
    <col min="2" max="2" width="43.125" style="1" customWidth="1"/>
    <col min="3" max="3" width="17.25" style="1" customWidth="1"/>
    <col min="4" max="5" width="10.375" style="1" customWidth="1"/>
    <col min="6" max="6" width="1.625" style="1" customWidth="1"/>
    <col min="7" max="7" width="11.375" style="43" customWidth="1"/>
    <col min="8" max="8" width="17" style="43" customWidth="1"/>
    <col min="9" max="9" width="5.875" style="1" customWidth="1"/>
    <col min="10" max="10" width="9.75" style="1" customWidth="1"/>
    <col min="11" max="12" width="6.125" style="1" customWidth="1"/>
    <col min="13" max="16" width="9" style="1"/>
    <col min="17" max="17" width="9" style="1" customWidth="1"/>
    <col min="18" max="18" width="2.5" style="1" customWidth="1"/>
    <col min="19" max="16384" width="9" style="1"/>
  </cols>
  <sheetData>
    <row r="1" spans="1:25" ht="21" x14ac:dyDescent="0.35">
      <c r="A1" s="3" t="s">
        <v>4</v>
      </c>
      <c r="G1" s="128" t="s">
        <v>99</v>
      </c>
      <c r="H1" s="123" t="s">
        <v>100</v>
      </c>
    </row>
    <row r="2" spans="1:25" ht="18.75" x14ac:dyDescent="0.3">
      <c r="A2" s="7" t="str">
        <f ca="1">RIGHT(CELL("filename",A1),LEN(CELL("filename",A1))-FIND("]",CELL("filename",A1),1))</f>
        <v>IT cloud solutions</v>
      </c>
    </row>
    <row r="3" spans="1:25" x14ac:dyDescent="0.2">
      <c r="A3" s="1" t="s">
        <v>24</v>
      </c>
    </row>
    <row r="5" spans="1:25" x14ac:dyDescent="0.2">
      <c r="A5" s="2" t="s">
        <v>31</v>
      </c>
      <c r="B5" s="2"/>
      <c r="C5" s="2"/>
      <c r="D5" s="2"/>
      <c r="E5" s="2"/>
      <c r="F5" s="2"/>
      <c r="G5" s="56"/>
      <c r="H5" s="56"/>
      <c r="I5" s="2"/>
      <c r="J5" s="2"/>
      <c r="K5" s="6"/>
      <c r="L5" s="6"/>
      <c r="M5" s="6"/>
      <c r="N5" s="6"/>
      <c r="O5" s="6"/>
      <c r="P5" s="6"/>
      <c r="Q5" s="6"/>
    </row>
    <row r="6" spans="1:25" x14ac:dyDescent="0.2">
      <c r="B6" s="155"/>
      <c r="C6" s="155"/>
      <c r="D6" s="155"/>
      <c r="E6" s="155"/>
      <c r="F6" s="155"/>
      <c r="G6" s="155"/>
      <c r="H6" s="155"/>
    </row>
    <row r="7" spans="1:25" x14ac:dyDescent="0.2">
      <c r="B7" s="41"/>
      <c r="C7" s="41"/>
      <c r="D7" s="41"/>
      <c r="E7" s="41"/>
      <c r="F7" s="41"/>
      <c r="G7" s="47"/>
      <c r="H7" s="47"/>
    </row>
    <row r="9" spans="1:25" x14ac:dyDescent="0.2">
      <c r="B9" s="4" t="s">
        <v>29</v>
      </c>
    </row>
    <row r="10" spans="1:25" x14ac:dyDescent="0.2">
      <c r="B10" s="1" t="s">
        <v>32</v>
      </c>
    </row>
    <row r="11" spans="1:25" x14ac:dyDescent="0.2">
      <c r="B11" s="1" t="s">
        <v>53</v>
      </c>
    </row>
    <row r="12" spans="1:25" x14ac:dyDescent="0.2">
      <c r="B12" s="44" t="s">
        <v>49</v>
      </c>
    </row>
    <row r="13" spans="1:25" x14ac:dyDescent="0.2">
      <c r="B13" s="44"/>
    </row>
    <row r="15" spans="1:25" x14ac:dyDescent="0.2">
      <c r="A15" s="2" t="s">
        <v>37</v>
      </c>
      <c r="B15" s="2"/>
      <c r="C15" s="2"/>
      <c r="D15" s="2"/>
      <c r="E15" s="2"/>
      <c r="F15" s="2"/>
      <c r="G15" s="56"/>
      <c r="H15" s="56"/>
      <c r="I15" s="2"/>
      <c r="J15" s="2"/>
      <c r="K15" s="6">
        <v>2019</v>
      </c>
      <c r="L15" s="6">
        <v>2020</v>
      </c>
      <c r="M15" s="6" t="s">
        <v>17</v>
      </c>
      <c r="N15" s="6" t="s">
        <v>18</v>
      </c>
      <c r="O15" s="6" t="s">
        <v>19</v>
      </c>
      <c r="P15" s="6" t="s">
        <v>20</v>
      </c>
      <c r="Q15" s="6" t="s">
        <v>21</v>
      </c>
      <c r="S15" s="6" t="s">
        <v>30</v>
      </c>
    </row>
    <row r="16" spans="1:25" x14ac:dyDescent="0.2">
      <c r="A16" s="10"/>
      <c r="B16" s="10"/>
      <c r="C16" s="10"/>
      <c r="D16" s="10"/>
      <c r="E16" s="10"/>
      <c r="F16" s="10"/>
      <c r="G16" s="63"/>
      <c r="H16" s="58"/>
      <c r="I16" s="11"/>
      <c r="J16" s="10"/>
      <c r="K16" s="10"/>
      <c r="L16" s="10"/>
      <c r="S16" s="52"/>
      <c r="T16" s="12"/>
      <c r="U16" s="12"/>
      <c r="V16" s="12"/>
      <c r="W16" s="12"/>
      <c r="X16" s="12"/>
      <c r="Y16" s="12"/>
    </row>
    <row r="17" spans="2:19" x14ac:dyDescent="0.2">
      <c r="B17" s="1" t="str">
        <f ca="1">"Powercor "&amp;$A$2 &amp;" allocated cost"</f>
        <v>Powercor IT cloud solutions allocated cost</v>
      </c>
      <c r="C17" s="64" t="s">
        <v>12</v>
      </c>
      <c r="G17" s="62" t="s">
        <v>101</v>
      </c>
      <c r="J17" s="33"/>
      <c r="K17" s="33"/>
      <c r="L17" s="33"/>
      <c r="M17" s="129">
        <v>826.8859099208446</v>
      </c>
      <c r="N17" s="129">
        <v>815.81142021650066</v>
      </c>
      <c r="O17" s="129">
        <v>1162.6403556473604</v>
      </c>
      <c r="P17" s="129">
        <v>1371.7945899589961</v>
      </c>
      <c r="Q17" s="129">
        <v>1356.351920696181</v>
      </c>
      <c r="S17" s="31">
        <f>SUM(M17:Q17)</f>
        <v>5533.4841964398829</v>
      </c>
    </row>
    <row r="18" spans="2:19" x14ac:dyDescent="0.2">
      <c r="B18" s="1" t="str">
        <f ca="1">"CitiPower "&amp;$A$2 &amp;" allocated cost"</f>
        <v>CitiPower IT cloud solutions allocated cost</v>
      </c>
      <c r="C18" s="64" t="s">
        <v>11</v>
      </c>
      <c r="G18" s="62" t="s">
        <v>101</v>
      </c>
      <c r="J18" s="33"/>
      <c r="K18" s="33"/>
      <c r="L18" s="33"/>
      <c r="M18" s="129">
        <v>327.21389692130475</v>
      </c>
      <c r="N18" s="129">
        <v>322.83151854347011</v>
      </c>
      <c r="O18" s="129">
        <v>460.07807960564008</v>
      </c>
      <c r="P18" s="129">
        <v>542.84424026407169</v>
      </c>
      <c r="Q18" s="129">
        <v>536.73329324256986</v>
      </c>
      <c r="S18" s="31">
        <f>SUM(M18:Q18)</f>
        <v>2189.7010285770566</v>
      </c>
    </row>
    <row r="19" spans="2:19" x14ac:dyDescent="0.2">
      <c r="C19" s="64"/>
      <c r="G19" s="61"/>
      <c r="J19" s="33"/>
      <c r="K19" s="33"/>
      <c r="L19" s="33"/>
      <c r="M19" s="33"/>
      <c r="N19" s="33"/>
      <c r="O19" s="33"/>
      <c r="P19" s="33"/>
      <c r="Q19" s="33"/>
      <c r="S19" s="68"/>
    </row>
    <row r="20" spans="2:19" x14ac:dyDescent="0.2">
      <c r="B20" s="4" t="s">
        <v>41</v>
      </c>
      <c r="C20" s="64"/>
      <c r="G20" s="61"/>
      <c r="J20" s="33"/>
      <c r="K20" s="33"/>
      <c r="L20" s="33"/>
      <c r="M20" s="33"/>
      <c r="N20" s="33"/>
      <c r="O20" s="33"/>
      <c r="P20" s="33"/>
      <c r="Q20" s="33"/>
      <c r="S20" s="68"/>
    </row>
    <row r="21" spans="2:19" ht="13.5" thickBot="1" x14ac:dyDescent="0.25">
      <c r="B21" s="83" t="str">
        <f ca="1">"CitiPower "&amp;$A$2</f>
        <v>CitiPower IT cloud solutions</v>
      </c>
      <c r="C21" s="84" t="s">
        <v>42</v>
      </c>
      <c r="D21" s="83"/>
      <c r="E21" s="83"/>
      <c r="F21" s="83"/>
      <c r="G21" s="85" t="s">
        <v>101</v>
      </c>
      <c r="H21" s="86"/>
      <c r="I21" s="83"/>
      <c r="J21" s="87"/>
      <c r="K21" s="87"/>
      <c r="L21" s="88"/>
      <c r="M21" s="88">
        <f>M18*Assumptions!N$38</f>
        <v>328.71750538357384</v>
      </c>
      <c r="N21" s="88">
        <f>N18*Assumptions!O$38</f>
        <v>325.26745328975403</v>
      </c>
      <c r="O21" s="88">
        <f>O18*Assumptions!P$38</f>
        <v>465.33680282477314</v>
      </c>
      <c r="P21" s="88">
        <f>P18*Assumptions!Q$38</f>
        <v>552.27811197175049</v>
      </c>
      <c r="Q21" s="88">
        <f>Q18*Assumptions!R$38</f>
        <v>550.2878325506822</v>
      </c>
      <c r="S21" s="31">
        <f>SUM(M21:Q21)</f>
        <v>2221.8877060205336</v>
      </c>
    </row>
    <row r="22" spans="2:19" ht="13.5" thickTop="1" x14ac:dyDescent="0.2">
      <c r="G22" s="61"/>
      <c r="J22" s="8"/>
      <c r="K22" s="8"/>
      <c r="L22" s="8"/>
      <c r="M22" s="8"/>
      <c r="N22" s="8"/>
      <c r="O22" s="8"/>
      <c r="P22" s="8"/>
      <c r="Q22" s="8"/>
    </row>
  </sheetData>
  <mergeCells count="1">
    <mergeCell ref="B6:H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Output</vt:lpstr>
      <vt:lpstr>Summary</vt:lpstr>
      <vt:lpstr>Assumptions</vt:lpstr>
      <vt:lpstr>5 minute settlement</vt:lpstr>
      <vt:lpstr>Security of Critical Infr</vt:lpstr>
      <vt:lpstr>Solar enablement</vt:lpstr>
      <vt:lpstr>IT cloud solutions</vt:lpstr>
      <vt:lpstr>BaseYear</vt:lpstr>
      <vt:lpstr>CP_cost_split</vt:lpstr>
      <vt:lpstr>CP_count</vt:lpstr>
      <vt:lpstr>CP_cust_share</vt:lpstr>
      <vt:lpstr>PAL_cost_split</vt:lpstr>
      <vt:lpstr>PAL_cust_share</vt:lpstr>
      <vt:lpstr>Year_of_Currency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2020-01-22T06:32:30Z</dcterms:created>
  <dcterms:modified xsi:type="dcterms:W3CDTF">2020-11-30T00:07:09Z</dcterms:modified>
</cp:coreProperties>
</file>