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2190" windowWidth="15480" windowHeight="9435" tabRatio="905" firstSheet="4" activeTab="8"/>
  </bookViews>
  <sheets>
    <sheet name="Intro" sheetId="7943" r:id="rId1"/>
    <sheet name="Input" sheetId="1" r:id="rId2"/>
    <sheet name="Adjustment for previous period" sheetId="7942" r:id="rId3"/>
    <sheet name="Actual RAB roll forward" sheetId="18" r:id="rId4"/>
    <sheet name="Total actual RAB roll forward" sheetId="7941" r:id="rId5"/>
    <sheet name="Asset lives roll forward" sheetId="7947" r:id="rId6"/>
    <sheet name="Tax value roll forward" sheetId="7944" r:id="rId7"/>
    <sheet name="PTRM Tax Inputs" sheetId="7948" r:id="rId8"/>
    <sheet name="Output summary" sheetId="7952" r:id="rId9"/>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period'!$H$343</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period'!$H$344</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period'!$H$345</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period'!$H$346</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period'!$H$347</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period'!$H$348</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period'!$H$349</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period'!$H$350</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period'!$H$351</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period'!$H$352</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period'!$H$334</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period'!$H$353</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period'!$H$354</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period'!$H$355</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period'!$H$356</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period'!$H$357</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period'!$H$358</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period'!$H$359</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period'!$H$360</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period'!$H$361</definedName>
    <definedName name="A29remlife">Input!$K$35</definedName>
    <definedName name="A29stdlife">Input!$L$35</definedName>
    <definedName name="A29taxremlife">Input!$V$35</definedName>
    <definedName name="A29taxstdlife">Input!$W$35</definedName>
    <definedName name="A29taxvalue">Input!$U$35</definedName>
    <definedName name="A29taxxstdlife">Input!$W$35</definedName>
    <definedName name="A29value">'Adjustment for previous period'!$H$362</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period'!$H$335</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period'!$H$363</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period'!$H$336</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period'!$H$337</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period'!$H$338</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period'!$H$339</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period'!$H$340</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period'!$H$341</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H178" i="1" l="1"/>
  <c r="I178" i="1" s="1"/>
  <c r="J178" i="1" s="1"/>
  <c r="K178" i="1" s="1"/>
  <c r="L178" i="1" s="1"/>
  <c r="M178" i="1" s="1"/>
  <c r="N178" i="1" s="1"/>
  <c r="O178" i="1" s="1"/>
  <c r="P178" i="1" s="1"/>
  <c r="Q178" i="1" s="1"/>
  <c r="G6" i="7942" l="1"/>
  <c r="O18" i="7952"/>
  <c r="N18" i="7952"/>
  <c r="M18" i="7952"/>
  <c r="O15" i="7952"/>
  <c r="N15" i="7952"/>
  <c r="G15" i="7952"/>
  <c r="E5" i="7952"/>
  <c r="F141" i="1"/>
  <c r="X358" i="7941"/>
  <c r="N13" i="1"/>
  <c r="M13" i="1"/>
  <c r="N12" i="1"/>
  <c r="M12" i="1"/>
  <c r="N11" i="1"/>
  <c r="M11" i="1"/>
  <c r="N10" i="1"/>
  <c r="M10" i="1"/>
  <c r="N9" i="1"/>
  <c r="M9" i="1"/>
  <c r="N8" i="1"/>
  <c r="M8" i="1"/>
  <c r="N7" i="1"/>
  <c r="M7" i="1"/>
  <c r="J13" i="1"/>
  <c r="J12" i="1"/>
  <c r="J11" i="1"/>
  <c r="J10" i="1"/>
  <c r="J9" i="1"/>
  <c r="J8" i="1"/>
  <c r="J7" i="1"/>
  <c r="L14" i="1"/>
  <c r="M120" i="7947"/>
  <c r="M119" i="7947"/>
  <c r="M118" i="7947"/>
  <c r="M106" i="7947"/>
  <c r="M105" i="7947"/>
  <c r="M104" i="7947"/>
  <c r="M91" i="7947"/>
  <c r="M90" i="7947"/>
  <c r="C16" i="7948"/>
  <c r="C14" i="7948"/>
  <c r="C13" i="7948"/>
  <c r="C12" i="7948"/>
  <c r="C11" i="7948"/>
  <c r="C10" i="7948"/>
  <c r="C9" i="7948"/>
  <c r="H9" i="7948" s="1"/>
  <c r="O9" i="7952" s="1"/>
  <c r="C8" i="7948"/>
  <c r="C7" i="7948"/>
  <c r="F80" i="7948"/>
  <c r="H12" i="7948" s="1"/>
  <c r="O12" i="7952" s="1"/>
  <c r="F78" i="7948"/>
  <c r="F10" i="7948"/>
  <c r="M10" i="7952" s="1"/>
  <c r="H10" i="7948"/>
  <c r="G10" i="7948"/>
  <c r="N10" i="7952" s="1"/>
  <c r="D65" i="7948"/>
  <c r="F79" i="7948" s="1"/>
  <c r="H11" i="7948" s="1"/>
  <c r="O11" i="7952" s="1"/>
  <c r="O10" i="7952"/>
  <c r="D66" i="7948"/>
  <c r="F77" i="7948" s="1"/>
  <c r="H14" i="7948" s="1"/>
  <c r="O14" i="7952" s="1"/>
  <c r="D68" i="7948"/>
  <c r="D67" i="7948"/>
  <c r="F81" i="7948" s="1"/>
  <c r="F53" i="7948"/>
  <c r="G53" i="7948"/>
  <c r="H53" i="7948" s="1"/>
  <c r="I53" i="7948" s="1"/>
  <c r="J53" i="7948" s="1"/>
  <c r="K53" i="7948" s="1"/>
  <c r="L53" i="7948" s="1"/>
  <c r="E53" i="7948"/>
  <c r="G182" i="1"/>
  <c r="I182" i="1"/>
  <c r="J182" i="1"/>
  <c r="K182" i="1" s="1"/>
  <c r="L182" i="1" s="1"/>
  <c r="M182" i="1" s="1"/>
  <c r="N182" i="1" s="1"/>
  <c r="O182" i="1" s="1"/>
  <c r="P182" i="1" s="1"/>
  <c r="Q182" i="1" s="1"/>
  <c r="F106" i="7947"/>
  <c r="F92" i="7947"/>
  <c r="F78" i="7947"/>
  <c r="F64" i="7947"/>
  <c r="F50" i="7947"/>
  <c r="F36" i="7947"/>
  <c r="F22" i="7947"/>
  <c r="F8" i="7947"/>
  <c r="G34" i="7944"/>
  <c r="G29" i="7944"/>
  <c r="G25" i="7944"/>
  <c r="G24" i="7944"/>
  <c r="G23" i="7944"/>
  <c r="G22" i="7944"/>
  <c r="G21" i="7944"/>
  <c r="G20" i="7944"/>
  <c r="G17" i="7944"/>
  <c r="G16" i="7944"/>
  <c r="G12" i="7944"/>
  <c r="U37" i="1"/>
  <c r="F424" i="7947"/>
  <c r="F423" i="7947"/>
  <c r="F422" i="7947"/>
  <c r="F421" i="7947"/>
  <c r="F420" i="7947"/>
  <c r="F419" i="7947"/>
  <c r="F418" i="7947"/>
  <c r="F417" i="7947"/>
  <c r="F416" i="7947"/>
  <c r="F415" i="7947"/>
  <c r="F414" i="7947"/>
  <c r="F410" i="7947"/>
  <c r="F409" i="7947"/>
  <c r="F408" i="7947"/>
  <c r="F407" i="7947"/>
  <c r="F406" i="7947"/>
  <c r="F405" i="7947"/>
  <c r="F404" i="7947"/>
  <c r="F403" i="7947"/>
  <c r="F402" i="7947"/>
  <c r="F401" i="7947"/>
  <c r="F400" i="7947"/>
  <c r="F396" i="7947"/>
  <c r="F395" i="7947"/>
  <c r="F394" i="7947"/>
  <c r="F393" i="7947"/>
  <c r="F392" i="7947"/>
  <c r="F391" i="7947"/>
  <c r="F390" i="7947"/>
  <c r="F389" i="7947"/>
  <c r="F388" i="7947"/>
  <c r="F387" i="7947"/>
  <c r="F386" i="7947"/>
  <c r="F382" i="7947"/>
  <c r="F381" i="7947"/>
  <c r="F380" i="7947"/>
  <c r="F379" i="7947"/>
  <c r="F378" i="7947"/>
  <c r="F377" i="7947"/>
  <c r="F376" i="7947"/>
  <c r="F375" i="7947"/>
  <c r="F374" i="7947"/>
  <c r="F373" i="7947"/>
  <c r="F372" i="7947"/>
  <c r="F368" i="7947"/>
  <c r="F367" i="7947"/>
  <c r="F366" i="7947"/>
  <c r="F365" i="7947"/>
  <c r="F364" i="7947"/>
  <c r="F363" i="7947"/>
  <c r="F362" i="7947"/>
  <c r="F361" i="7947"/>
  <c r="F360" i="7947"/>
  <c r="F359" i="7947"/>
  <c r="F358" i="7947"/>
  <c r="F354" i="7947"/>
  <c r="F353" i="7947"/>
  <c r="F352" i="7947"/>
  <c r="F351" i="7947"/>
  <c r="F350" i="7947"/>
  <c r="F349" i="7947"/>
  <c r="F348" i="7947"/>
  <c r="F347" i="7947"/>
  <c r="F346" i="7947"/>
  <c r="F345" i="7947"/>
  <c r="F344" i="7947"/>
  <c r="F340" i="7947"/>
  <c r="F339" i="7947"/>
  <c r="F338" i="7947"/>
  <c r="F337" i="7947"/>
  <c r="F336" i="7947"/>
  <c r="F335" i="7947"/>
  <c r="F334" i="7947"/>
  <c r="F333" i="7947"/>
  <c r="F332" i="7947"/>
  <c r="F331" i="7947"/>
  <c r="F330" i="7947"/>
  <c r="F326" i="7947"/>
  <c r="F325" i="7947"/>
  <c r="F324" i="7947"/>
  <c r="F323" i="7947"/>
  <c r="F322" i="7947"/>
  <c r="F321" i="7947"/>
  <c r="F320" i="7947"/>
  <c r="F319" i="7947"/>
  <c r="F318" i="7947"/>
  <c r="F317" i="7947"/>
  <c r="F316" i="7947"/>
  <c r="F312" i="7947"/>
  <c r="F311" i="7947"/>
  <c r="F310" i="7947"/>
  <c r="F309" i="7947"/>
  <c r="F308" i="7947"/>
  <c r="F307" i="7947"/>
  <c r="F306" i="7947"/>
  <c r="F305" i="7947"/>
  <c r="F304" i="7947"/>
  <c r="F303" i="7947"/>
  <c r="F302" i="7947"/>
  <c r="F298" i="7947"/>
  <c r="F297" i="7947"/>
  <c r="F296" i="7947"/>
  <c r="F295" i="7947"/>
  <c r="F294" i="7947"/>
  <c r="F293" i="7947"/>
  <c r="F292" i="7947"/>
  <c r="F291" i="7947"/>
  <c r="F290" i="7947"/>
  <c r="F289" i="7947"/>
  <c r="F288" i="7947"/>
  <c r="F284" i="7947"/>
  <c r="F283" i="7947"/>
  <c r="F282" i="7947"/>
  <c r="F281" i="7947"/>
  <c r="F280" i="7947"/>
  <c r="F279" i="7947"/>
  <c r="F278" i="7947"/>
  <c r="F277" i="7947"/>
  <c r="F276" i="7947"/>
  <c r="F275" i="7947"/>
  <c r="F274" i="7947"/>
  <c r="F270" i="7947"/>
  <c r="F269" i="7947"/>
  <c r="F268" i="7947"/>
  <c r="F267" i="7947"/>
  <c r="F266" i="7947"/>
  <c r="F265" i="7947"/>
  <c r="F264" i="7947"/>
  <c r="F263" i="7947"/>
  <c r="F262" i="7947"/>
  <c r="F261" i="7947"/>
  <c r="F260" i="7947"/>
  <c r="F256" i="7947"/>
  <c r="F255" i="7947"/>
  <c r="F254" i="7947"/>
  <c r="F253" i="7947"/>
  <c r="F252" i="7947"/>
  <c r="F251" i="7947"/>
  <c r="F250" i="7947"/>
  <c r="F249" i="7947"/>
  <c r="F248" i="7947"/>
  <c r="F247" i="7947"/>
  <c r="F246" i="7947"/>
  <c r="F242" i="7947"/>
  <c r="F241" i="7947"/>
  <c r="F240" i="7947"/>
  <c r="F239" i="7947"/>
  <c r="F238" i="7947"/>
  <c r="F237" i="7947"/>
  <c r="F236" i="7947"/>
  <c r="F235" i="7947"/>
  <c r="F234" i="7947"/>
  <c r="F233" i="7947"/>
  <c r="F232" i="7947"/>
  <c r="F228" i="7947"/>
  <c r="F227" i="7947"/>
  <c r="F226" i="7947"/>
  <c r="F225" i="7947"/>
  <c r="F224" i="7947"/>
  <c r="F223" i="7947"/>
  <c r="F222" i="7947"/>
  <c r="F221" i="7947"/>
  <c r="F220" i="7947"/>
  <c r="F219" i="7947"/>
  <c r="F218" i="7947"/>
  <c r="F214" i="7947"/>
  <c r="F213" i="7947"/>
  <c r="F212" i="7947"/>
  <c r="F211" i="7947"/>
  <c r="F210" i="7947"/>
  <c r="F209" i="7947"/>
  <c r="F208" i="7947"/>
  <c r="F207" i="7947"/>
  <c r="F206" i="7947"/>
  <c r="F205" i="7947"/>
  <c r="F204" i="7947"/>
  <c r="F200" i="7947"/>
  <c r="F199" i="7947"/>
  <c r="F198" i="7947"/>
  <c r="F197" i="7947"/>
  <c r="F196" i="7947"/>
  <c r="F195" i="7947"/>
  <c r="F194" i="7947"/>
  <c r="F193" i="7947"/>
  <c r="F192" i="7947"/>
  <c r="F191" i="7947"/>
  <c r="F190" i="7947"/>
  <c r="F186" i="7947"/>
  <c r="F185" i="7947"/>
  <c r="F184" i="7947"/>
  <c r="F183" i="7947"/>
  <c r="F182" i="7947"/>
  <c r="F181" i="7947"/>
  <c r="F180" i="7947"/>
  <c r="F179" i="7947"/>
  <c r="F178" i="7947"/>
  <c r="F177" i="7947"/>
  <c r="F176" i="7947"/>
  <c r="F172" i="7947"/>
  <c r="F171" i="7947"/>
  <c r="F170" i="7947"/>
  <c r="F169" i="7947"/>
  <c r="F168" i="7947"/>
  <c r="F167" i="7947"/>
  <c r="F166" i="7947"/>
  <c r="F165" i="7947"/>
  <c r="F164" i="7947"/>
  <c r="F163" i="7947"/>
  <c r="F162" i="7947"/>
  <c r="F158" i="7947"/>
  <c r="F157" i="7947"/>
  <c r="F156" i="7947"/>
  <c r="F155" i="7947"/>
  <c r="F154" i="7947"/>
  <c r="F153" i="7947"/>
  <c r="F152" i="7947"/>
  <c r="F151" i="7947"/>
  <c r="F150" i="7947"/>
  <c r="F149" i="7947"/>
  <c r="F148" i="7947"/>
  <c r="F144" i="7947"/>
  <c r="F143" i="7947"/>
  <c r="F142" i="7947"/>
  <c r="F141" i="7947"/>
  <c r="F140" i="7947"/>
  <c r="F139" i="7947"/>
  <c r="F138" i="7947"/>
  <c r="F137" i="7947"/>
  <c r="F136" i="7947"/>
  <c r="F135" i="7947"/>
  <c r="F134" i="7947"/>
  <c r="F120" i="7947"/>
  <c r="F46" i="7947"/>
  <c r="J46" i="7947" s="1"/>
  <c r="M81" i="7944"/>
  <c r="O81" i="7944"/>
  <c r="Q81" i="7944"/>
  <c r="M93" i="7944"/>
  <c r="N93" i="7944"/>
  <c r="O93" i="7944"/>
  <c r="P93" i="7944"/>
  <c r="Q93" i="7944"/>
  <c r="H3" i="18"/>
  <c r="I3" i="18" s="1"/>
  <c r="I163" i="18"/>
  <c r="J163" i="18"/>
  <c r="J164" i="18"/>
  <c r="K163" i="18"/>
  <c r="K164" i="18"/>
  <c r="K165" i="18"/>
  <c r="L163" i="18"/>
  <c r="L164" i="18"/>
  <c r="L165" i="18"/>
  <c r="L166" i="18"/>
  <c r="I176" i="18"/>
  <c r="J176" i="18"/>
  <c r="J177" i="18"/>
  <c r="K176" i="18"/>
  <c r="K177" i="18"/>
  <c r="K178" i="18"/>
  <c r="L176" i="18"/>
  <c r="L177" i="18"/>
  <c r="L178" i="18"/>
  <c r="L179" i="18"/>
  <c r="H187" i="18"/>
  <c r="H199" i="18" s="1"/>
  <c r="I189" i="18"/>
  <c r="J189" i="18"/>
  <c r="J190" i="18"/>
  <c r="K189" i="18"/>
  <c r="K190" i="18"/>
  <c r="K191" i="18"/>
  <c r="L189" i="18"/>
  <c r="L190" i="18"/>
  <c r="L191" i="18"/>
  <c r="L192" i="18"/>
  <c r="H200" i="18"/>
  <c r="H212" i="18" s="1"/>
  <c r="I202" i="18"/>
  <c r="J202" i="18"/>
  <c r="J203" i="18"/>
  <c r="K202" i="18"/>
  <c r="K203" i="18"/>
  <c r="K204" i="18"/>
  <c r="L202" i="18"/>
  <c r="L203" i="18"/>
  <c r="L204" i="18"/>
  <c r="L205" i="18"/>
  <c r="I215" i="18"/>
  <c r="J215" i="18"/>
  <c r="J216" i="18"/>
  <c r="K215" i="18"/>
  <c r="K216" i="18"/>
  <c r="K217" i="18"/>
  <c r="L215" i="18"/>
  <c r="L216" i="18"/>
  <c r="L217" i="18"/>
  <c r="L218" i="18"/>
  <c r="I228" i="18"/>
  <c r="J228" i="18"/>
  <c r="J229" i="18"/>
  <c r="K228" i="18"/>
  <c r="K229" i="18"/>
  <c r="K230" i="18"/>
  <c r="L228" i="18"/>
  <c r="L229" i="18"/>
  <c r="L230" i="18"/>
  <c r="L231" i="18"/>
  <c r="H239" i="18"/>
  <c r="H251" i="18" s="1"/>
  <c r="I241" i="18"/>
  <c r="J241" i="18"/>
  <c r="J242" i="18"/>
  <c r="K241" i="18"/>
  <c r="K242" i="18"/>
  <c r="K243" i="18"/>
  <c r="L241" i="18"/>
  <c r="L242" i="18"/>
  <c r="L243" i="18"/>
  <c r="L244" i="18"/>
  <c r="H252" i="18"/>
  <c r="H264" i="18" s="1"/>
  <c r="I254" i="18"/>
  <c r="J254" i="18"/>
  <c r="J255" i="18"/>
  <c r="K254" i="18"/>
  <c r="K255" i="18"/>
  <c r="K256" i="18"/>
  <c r="L254" i="18"/>
  <c r="L255" i="18"/>
  <c r="L256" i="18"/>
  <c r="L257" i="18"/>
  <c r="H265" i="18"/>
  <c r="H277" i="18" s="1"/>
  <c r="I267" i="18"/>
  <c r="J267" i="18"/>
  <c r="J268" i="18"/>
  <c r="K267" i="18"/>
  <c r="K268" i="18"/>
  <c r="K269" i="18"/>
  <c r="L267" i="18"/>
  <c r="L268" i="18"/>
  <c r="L269" i="18"/>
  <c r="L270" i="18"/>
  <c r="H278" i="18"/>
  <c r="H290" i="18" s="1"/>
  <c r="I280" i="18"/>
  <c r="J280" i="18"/>
  <c r="J281" i="18"/>
  <c r="K280" i="18"/>
  <c r="K281" i="18"/>
  <c r="K282" i="18"/>
  <c r="L280" i="18"/>
  <c r="L281" i="18"/>
  <c r="L282" i="18"/>
  <c r="L283" i="18"/>
  <c r="H291" i="18"/>
  <c r="H303" i="18" s="1"/>
  <c r="I293" i="18"/>
  <c r="J293" i="18"/>
  <c r="J294" i="18"/>
  <c r="K293" i="18"/>
  <c r="K294" i="18"/>
  <c r="K295" i="18"/>
  <c r="L293" i="18"/>
  <c r="L294" i="18"/>
  <c r="L295" i="18"/>
  <c r="L296" i="18"/>
  <c r="H304" i="18"/>
  <c r="H316" i="18" s="1"/>
  <c r="I306" i="18"/>
  <c r="J306" i="18"/>
  <c r="J307" i="18"/>
  <c r="K306" i="18"/>
  <c r="K307" i="18"/>
  <c r="K308" i="18"/>
  <c r="L306" i="18"/>
  <c r="L307" i="18"/>
  <c r="L308" i="18"/>
  <c r="L309" i="18"/>
  <c r="H317" i="18"/>
  <c r="H329" i="18" s="1"/>
  <c r="I319" i="18"/>
  <c r="J319" i="18"/>
  <c r="J320" i="18"/>
  <c r="K319" i="18"/>
  <c r="K320" i="18"/>
  <c r="K321" i="18"/>
  <c r="L319" i="18"/>
  <c r="L320" i="18"/>
  <c r="L321" i="18"/>
  <c r="L322" i="18"/>
  <c r="H330" i="18"/>
  <c r="H342" i="18" s="1"/>
  <c r="I332" i="18"/>
  <c r="J332" i="18"/>
  <c r="J333" i="18"/>
  <c r="K332" i="18"/>
  <c r="K333" i="18"/>
  <c r="K334" i="18"/>
  <c r="L332" i="18"/>
  <c r="L333" i="18"/>
  <c r="L334" i="18"/>
  <c r="L335" i="18"/>
  <c r="H343" i="18"/>
  <c r="H355" i="18" s="1"/>
  <c r="I345" i="18"/>
  <c r="J345" i="18"/>
  <c r="J346" i="18"/>
  <c r="K345" i="18"/>
  <c r="K346" i="18"/>
  <c r="K347" i="18"/>
  <c r="L345" i="18"/>
  <c r="L346" i="18"/>
  <c r="L347" i="18"/>
  <c r="L348" i="18"/>
  <c r="H356" i="18"/>
  <c r="H368" i="18" s="1"/>
  <c r="I358" i="18"/>
  <c r="J358" i="18"/>
  <c r="J359" i="18"/>
  <c r="K358" i="18"/>
  <c r="K359" i="18"/>
  <c r="K360" i="18"/>
  <c r="L358" i="18"/>
  <c r="L359" i="18"/>
  <c r="L360" i="18"/>
  <c r="L361" i="18"/>
  <c r="H369" i="18"/>
  <c r="H381" i="18" s="1"/>
  <c r="I371" i="18"/>
  <c r="J371" i="18"/>
  <c r="J372" i="18"/>
  <c r="K371" i="18"/>
  <c r="K372" i="18"/>
  <c r="K373" i="18"/>
  <c r="L371" i="18"/>
  <c r="L372" i="18"/>
  <c r="L373" i="18"/>
  <c r="L374" i="18"/>
  <c r="H382" i="18"/>
  <c r="H394" i="18" s="1"/>
  <c r="I384" i="18"/>
  <c r="J384" i="18"/>
  <c r="J385" i="18"/>
  <c r="K384" i="18"/>
  <c r="K385" i="18"/>
  <c r="K386" i="18"/>
  <c r="L384" i="18"/>
  <c r="L385" i="18"/>
  <c r="L386" i="18"/>
  <c r="L387" i="18"/>
  <c r="H395" i="18"/>
  <c r="H407" i="18" s="1"/>
  <c r="I397" i="18"/>
  <c r="J397" i="18"/>
  <c r="J398" i="18"/>
  <c r="K397" i="18"/>
  <c r="K398" i="18"/>
  <c r="K399" i="18"/>
  <c r="L397" i="18"/>
  <c r="L398" i="18"/>
  <c r="L399" i="18"/>
  <c r="L400" i="18"/>
  <c r="H408" i="18"/>
  <c r="H420" i="18" s="1"/>
  <c r="I410" i="18"/>
  <c r="J410" i="18"/>
  <c r="J411" i="18"/>
  <c r="K410" i="18"/>
  <c r="K411" i="18"/>
  <c r="K412" i="18"/>
  <c r="L410" i="18"/>
  <c r="L411" i="18"/>
  <c r="L412" i="18"/>
  <c r="L413" i="18"/>
  <c r="H421" i="18"/>
  <c r="H433" i="18" s="1"/>
  <c r="I423" i="18"/>
  <c r="J423" i="18"/>
  <c r="J424" i="18"/>
  <c r="K423" i="18"/>
  <c r="K424" i="18"/>
  <c r="K425" i="18"/>
  <c r="L423" i="18"/>
  <c r="L424" i="18"/>
  <c r="L425" i="18"/>
  <c r="L426" i="18"/>
  <c r="G152" i="1"/>
  <c r="G153" i="1"/>
  <c r="G154" i="1"/>
  <c r="G155" i="1"/>
  <c r="G156" i="1"/>
  <c r="G157" i="1"/>
  <c r="G158" i="1"/>
  <c r="G159" i="1"/>
  <c r="G160" i="1"/>
  <c r="G161" i="1"/>
  <c r="G162" i="1"/>
  <c r="G163" i="1"/>
  <c r="G164" i="1"/>
  <c r="G165" i="1"/>
  <c r="G166" i="1"/>
  <c r="G167" i="1"/>
  <c r="G168" i="1"/>
  <c r="G169" i="1"/>
  <c r="G170" i="1"/>
  <c r="G171" i="1"/>
  <c r="G172" i="1"/>
  <c r="M184" i="1"/>
  <c r="M7" i="7942"/>
  <c r="N184" i="1"/>
  <c r="N7" i="7942" s="1"/>
  <c r="O184" i="1"/>
  <c r="O7" i="7942"/>
  <c r="P184" i="1"/>
  <c r="P7" i="7942" s="1"/>
  <c r="Q184" i="1"/>
  <c r="Q7" i="7942"/>
  <c r="G373" i="7942"/>
  <c r="G477" i="18"/>
  <c r="G46" i="7941" s="1"/>
  <c r="G446" i="18"/>
  <c r="G374" i="7942"/>
  <c r="G478" i="18"/>
  <c r="G47" i="7941" s="1"/>
  <c r="G406" i="7942"/>
  <c r="G510" i="18"/>
  <c r="G79" i="7941"/>
  <c r="G445" i="18"/>
  <c r="G14" i="7941"/>
  <c r="G405" i="7942"/>
  <c r="G509" i="18"/>
  <c r="G78" i="7941" s="1"/>
  <c r="G19" i="7942"/>
  <c r="G20" i="7942"/>
  <c r="G430" i="7942"/>
  <c r="G534" i="18" s="1"/>
  <c r="G462" i="7942"/>
  <c r="G566" i="18"/>
  <c r="G135" i="7941"/>
  <c r="G494" i="7942"/>
  <c r="G431" i="7942"/>
  <c r="G535" i="18"/>
  <c r="G104" i="7941"/>
  <c r="G463" i="7942"/>
  <c r="G567" i="18"/>
  <c r="G495" i="7942"/>
  <c r="G599" i="18"/>
  <c r="G168" i="7941" s="1"/>
  <c r="G432" i="7942"/>
  <c r="G536" i="18" s="1"/>
  <c r="G105" i="7941" s="1"/>
  <c r="G464" i="7942"/>
  <c r="G568" i="18" s="1"/>
  <c r="G496" i="7942"/>
  <c r="G600" i="18" s="1"/>
  <c r="G433" i="7942"/>
  <c r="G537" i="18"/>
  <c r="G106" i="7941" s="1"/>
  <c r="G465" i="7942"/>
  <c r="G569" i="18"/>
  <c r="G138" i="7941"/>
  <c r="G497" i="7942"/>
  <c r="G601" i="18"/>
  <c r="G170" i="7941" s="1"/>
  <c r="G434" i="7942"/>
  <c r="G538" i="18" s="1"/>
  <c r="G107" i="7941" s="1"/>
  <c r="G466" i="7942"/>
  <c r="G570" i="18"/>
  <c r="G139" i="7941" s="1"/>
  <c r="G498" i="7942"/>
  <c r="G602" i="18"/>
  <c r="G171" i="7941"/>
  <c r="G435" i="7942"/>
  <c r="G539" i="18"/>
  <c r="G108" i="7941"/>
  <c r="G467" i="7942"/>
  <c r="G571" i="18" s="1"/>
  <c r="G140" i="7941" s="1"/>
  <c r="G499" i="7942"/>
  <c r="G603" i="18"/>
  <c r="G172" i="7941" s="1"/>
  <c r="G436" i="7942"/>
  <c r="G540" i="18"/>
  <c r="G109" i="7941"/>
  <c r="G468" i="7942"/>
  <c r="G572" i="18"/>
  <c r="G141" i="7941"/>
  <c r="G500" i="7942"/>
  <c r="G604" i="18" s="1"/>
  <c r="G173" i="7941" s="1"/>
  <c r="G437" i="7942"/>
  <c r="G541" i="18"/>
  <c r="G110" i="7941" s="1"/>
  <c r="G469" i="7942"/>
  <c r="G573" i="18"/>
  <c r="G501" i="7942"/>
  <c r="G605" i="18" s="1"/>
  <c r="G438" i="7942"/>
  <c r="G542" i="18"/>
  <c r="G111" i="7941" s="1"/>
  <c r="G470" i="7942"/>
  <c r="G574" i="18"/>
  <c r="G143" i="7941"/>
  <c r="G502" i="7942"/>
  <c r="G606" i="18"/>
  <c r="G175" i="7941"/>
  <c r="G447" i="18"/>
  <c r="G375" i="7942"/>
  <c r="G479" i="18"/>
  <c r="G407" i="7942"/>
  <c r="G511" i="18"/>
  <c r="G80" i="7941" s="1"/>
  <c r="G439" i="7942"/>
  <c r="G543" i="18"/>
  <c r="G112" i="7941"/>
  <c r="G471" i="7942"/>
  <c r="G575" i="18"/>
  <c r="G144" i="7941"/>
  <c r="G503" i="7942"/>
  <c r="G607" i="18" s="1"/>
  <c r="G448" i="18"/>
  <c r="G376" i="7942"/>
  <c r="G480" i="18" s="1"/>
  <c r="G408" i="7942"/>
  <c r="G512" i="18"/>
  <c r="G81" i="7941"/>
  <c r="G440" i="7942"/>
  <c r="G544" i="18"/>
  <c r="G113" i="7941"/>
  <c r="G472" i="7942"/>
  <c r="G576" i="18" s="1"/>
  <c r="G145" i="7941" s="1"/>
  <c r="G504" i="7942"/>
  <c r="G608" i="18"/>
  <c r="G177" i="7941" s="1"/>
  <c r="G449" i="18"/>
  <c r="G18" i="7941"/>
  <c r="G377" i="7942"/>
  <c r="G481" i="18" s="1"/>
  <c r="G409" i="7942"/>
  <c r="G513" i="18" s="1"/>
  <c r="G82" i="7941" s="1"/>
  <c r="G441" i="7942"/>
  <c r="G545" i="18"/>
  <c r="G114" i="7941"/>
  <c r="G473" i="7942"/>
  <c r="G577" i="18" s="1"/>
  <c r="G146" i="7941" s="1"/>
  <c r="G505" i="7942"/>
  <c r="G609" i="18" s="1"/>
  <c r="G178" i="7941" s="1"/>
  <c r="G450" i="18"/>
  <c r="G378" i="7942"/>
  <c r="G482" i="18" s="1"/>
  <c r="G410" i="7942"/>
  <c r="G514" i="18"/>
  <c r="G83" i="7941" s="1"/>
  <c r="G442" i="7942"/>
  <c r="G546" i="18" s="1"/>
  <c r="G115" i="7941" s="1"/>
  <c r="G474" i="7942"/>
  <c r="G578" i="18" s="1"/>
  <c r="G147" i="7941" s="1"/>
  <c r="G506" i="7942"/>
  <c r="G610" i="18" s="1"/>
  <c r="G179" i="7941" s="1"/>
  <c r="G451" i="18"/>
  <c r="G379" i="7942"/>
  <c r="G483" i="18" s="1"/>
  <c r="G411" i="7942"/>
  <c r="G515" i="18"/>
  <c r="G84" i="7941" s="1"/>
  <c r="G443" i="7942"/>
  <c r="G547" i="18" s="1"/>
  <c r="G116" i="7941" s="1"/>
  <c r="G475" i="7942"/>
  <c r="G579" i="18" s="1"/>
  <c r="G148" i="7941" s="1"/>
  <c r="G507" i="7942"/>
  <c r="G611" i="18" s="1"/>
  <c r="G180" i="7941" s="1"/>
  <c r="G452" i="18"/>
  <c r="G380" i="7942"/>
  <c r="G484" i="18" s="1"/>
  <c r="G412" i="7942"/>
  <c r="G516" i="18"/>
  <c r="G444" i="7942"/>
  <c r="G548" i="18" s="1"/>
  <c r="G117" i="7941" s="1"/>
  <c r="G476" i="7942"/>
  <c r="G580" i="18" s="1"/>
  <c r="G149" i="7941" s="1"/>
  <c r="G508" i="7942"/>
  <c r="G612" i="18"/>
  <c r="G181" i="7941"/>
  <c r="G453" i="18"/>
  <c r="G381" i="7942"/>
  <c r="G485" i="18"/>
  <c r="G54" i="7941"/>
  <c r="G413" i="7942"/>
  <c r="G517" i="18"/>
  <c r="G86" i="7941"/>
  <c r="G445" i="7942"/>
  <c r="G549" i="18" s="1"/>
  <c r="G477" i="7942"/>
  <c r="G581" i="18"/>
  <c r="G150" i="7941" s="1"/>
  <c r="G509" i="7942"/>
  <c r="G613" i="18"/>
  <c r="G182" i="7941"/>
  <c r="G454" i="18"/>
  <c r="G382" i="7942"/>
  <c r="G486" i="18"/>
  <c r="G55" i="7941"/>
  <c r="G414" i="7942"/>
  <c r="G518" i="18"/>
  <c r="G446" i="7942"/>
  <c r="G550" i="18"/>
  <c r="G119" i="7941" s="1"/>
  <c r="H23" i="7941" s="1"/>
  <c r="G478" i="7942"/>
  <c r="G582" i="18"/>
  <c r="G151" i="7941"/>
  <c r="G510" i="7942"/>
  <c r="G614" i="18"/>
  <c r="G183" i="7941"/>
  <c r="G455" i="18"/>
  <c r="G383" i="7942"/>
  <c r="G487" i="18"/>
  <c r="G56" i="7941"/>
  <c r="G415" i="7942"/>
  <c r="G519" i="18" s="1"/>
  <c r="G447" i="7942"/>
  <c r="G551" i="18"/>
  <c r="G120" i="7941" s="1"/>
  <c r="G479" i="7942"/>
  <c r="G583" i="18"/>
  <c r="G152" i="7941"/>
  <c r="G511" i="7942"/>
  <c r="G615" i="18" s="1"/>
  <c r="G184" i="7941" s="1"/>
  <c r="G456" i="18"/>
  <c r="G384" i="7942"/>
  <c r="G488" i="18" s="1"/>
  <c r="G416" i="7942"/>
  <c r="G520" i="18" s="1"/>
  <c r="G89" i="7941" s="1"/>
  <c r="G448" i="7942"/>
  <c r="G552" i="18"/>
  <c r="G121" i="7941"/>
  <c r="G480" i="7942"/>
  <c r="G584" i="18" s="1"/>
  <c r="G153" i="7941" s="1"/>
  <c r="G512" i="7942"/>
  <c r="G616" i="18" s="1"/>
  <c r="G185" i="7941" s="1"/>
  <c r="G457" i="18"/>
  <c r="G26" i="7941"/>
  <c r="G385" i="7942"/>
  <c r="G489" i="18"/>
  <c r="G58" i="7941"/>
  <c r="G417" i="7942"/>
  <c r="G521" i="18" s="1"/>
  <c r="G449" i="7942"/>
  <c r="G553" i="18"/>
  <c r="G122" i="7941" s="1"/>
  <c r="G481" i="7942"/>
  <c r="G585" i="18" s="1"/>
  <c r="G154" i="7941" s="1"/>
  <c r="G513" i="7942"/>
  <c r="G617" i="18"/>
  <c r="G186" i="7941" s="1"/>
  <c r="G458" i="18"/>
  <c r="G386" i="7942"/>
  <c r="G490" i="18"/>
  <c r="G59" i="7941"/>
  <c r="G418" i="7942"/>
  <c r="G522" i="18" s="1"/>
  <c r="G450" i="7942"/>
  <c r="G554" i="18"/>
  <c r="G123" i="7941"/>
  <c r="G482" i="7942"/>
  <c r="G586" i="18"/>
  <c r="G155" i="7941"/>
  <c r="G514" i="7942"/>
  <c r="G618" i="18" s="1"/>
  <c r="G187" i="7941" s="1"/>
  <c r="G459" i="18"/>
  <c r="G387" i="7942"/>
  <c r="G491" i="18" s="1"/>
  <c r="G419" i="7942"/>
  <c r="G523" i="18"/>
  <c r="G451" i="7942"/>
  <c r="G555" i="18"/>
  <c r="G124" i="7941" s="1"/>
  <c r="G483" i="7942"/>
  <c r="G587" i="18" s="1"/>
  <c r="G156" i="7941" s="1"/>
  <c r="G515" i="7942"/>
  <c r="G619" i="18"/>
  <c r="G188" i="7941" s="1"/>
  <c r="G460" i="18"/>
  <c r="G388" i="7942"/>
  <c r="G492" i="18"/>
  <c r="G61" i="7941" s="1"/>
  <c r="G420" i="7942"/>
  <c r="G524" i="18"/>
  <c r="G452" i="7942"/>
  <c r="G556" i="18" s="1"/>
  <c r="G484" i="7942"/>
  <c r="G588" i="18"/>
  <c r="G157" i="7941" s="1"/>
  <c r="G516" i="7942"/>
  <c r="G620" i="18"/>
  <c r="G189" i="7941"/>
  <c r="G461" i="18"/>
  <c r="G30" i="7941"/>
  <c r="G389" i="7942"/>
  <c r="G493" i="18"/>
  <c r="G62" i="7941"/>
  <c r="G421" i="7942"/>
  <c r="G525" i="18" s="1"/>
  <c r="G453" i="7942"/>
  <c r="G557" i="18"/>
  <c r="G126" i="7941"/>
  <c r="G485" i="7942"/>
  <c r="G589" i="18"/>
  <c r="G158" i="7941"/>
  <c r="G517" i="7942"/>
  <c r="G621" i="18" s="1"/>
  <c r="G190" i="7941" s="1"/>
  <c r="G462" i="18"/>
  <c r="G390" i="7942"/>
  <c r="G494" i="18" s="1"/>
  <c r="G422" i="7942"/>
  <c r="G526" i="18"/>
  <c r="G454" i="7942"/>
  <c r="G558" i="18" s="1"/>
  <c r="G127" i="7941" s="1"/>
  <c r="G486" i="7942"/>
  <c r="G590" i="18"/>
  <c r="G159" i="7941" s="1"/>
  <c r="G518" i="7942"/>
  <c r="G622" i="18"/>
  <c r="G191" i="7941"/>
  <c r="G463" i="18"/>
  <c r="G391" i="7942"/>
  <c r="G495" i="18"/>
  <c r="G64" i="7941"/>
  <c r="G423" i="7942"/>
  <c r="G527" i="18"/>
  <c r="G455" i="7942"/>
  <c r="G559" i="18"/>
  <c r="G128" i="7941" s="1"/>
  <c r="H32" i="7941" s="1"/>
  <c r="G487" i="7942"/>
  <c r="G591" i="18"/>
  <c r="G160" i="7941"/>
  <c r="G519" i="7942"/>
  <c r="G623" i="18"/>
  <c r="G192" i="7941"/>
  <c r="G464" i="18"/>
  <c r="G392" i="7942"/>
  <c r="G496" i="18"/>
  <c r="G65" i="7941"/>
  <c r="G424" i="7942"/>
  <c r="G528" i="18" s="1"/>
  <c r="G456" i="7942"/>
  <c r="G560" i="18"/>
  <c r="G129" i="7941"/>
  <c r="G488" i="7942"/>
  <c r="G592" i="18"/>
  <c r="G161" i="7941"/>
  <c r="G520" i="7942"/>
  <c r="G624" i="18" s="1"/>
  <c r="G193" i="7941" s="1"/>
  <c r="G465" i="18"/>
  <c r="G34" i="7941" s="1"/>
  <c r="G393" i="7942"/>
  <c r="G497" i="18"/>
  <c r="G66" i="7941"/>
  <c r="G425" i="7942"/>
  <c r="G529" i="18" s="1"/>
  <c r="G457" i="7942"/>
  <c r="G561" i="18"/>
  <c r="G130" i="7941" s="1"/>
  <c r="G489" i="7942"/>
  <c r="G593" i="18"/>
  <c r="G162" i="7941"/>
  <c r="G521" i="7942"/>
  <c r="G625" i="18" s="1"/>
  <c r="G194" i="7941" s="1"/>
  <c r="G466" i="18"/>
  <c r="G394" i="7942"/>
  <c r="G498" i="18" s="1"/>
  <c r="G426" i="7942"/>
  <c r="G530" i="18" s="1"/>
  <c r="G458" i="7942"/>
  <c r="G562" i="18"/>
  <c r="G131" i="7941"/>
  <c r="G490" i="7942"/>
  <c r="G594" i="18" s="1"/>
  <c r="G163" i="7941" s="1"/>
  <c r="G522" i="7942"/>
  <c r="G626" i="18" s="1"/>
  <c r="G195" i="7941" s="1"/>
  <c r="G467" i="18"/>
  <c r="G395" i="7942"/>
  <c r="G499" i="18" s="1"/>
  <c r="G427" i="7942"/>
  <c r="G531" i="18"/>
  <c r="G100" i="7941"/>
  <c r="G459" i="7942"/>
  <c r="G563" i="18"/>
  <c r="G132" i="7941" s="1"/>
  <c r="G491" i="7942"/>
  <c r="G595" i="18" s="1"/>
  <c r="G164" i="7941" s="1"/>
  <c r="G523" i="7942"/>
  <c r="G627" i="18"/>
  <c r="G196" i="7941" s="1"/>
  <c r="G21" i="7942"/>
  <c r="G22" i="7942"/>
  <c r="G23" i="7942"/>
  <c r="G24" i="7942"/>
  <c r="G25" i="7942"/>
  <c r="G26" i="7942"/>
  <c r="G27" i="7942"/>
  <c r="G28" i="7942"/>
  <c r="G29" i="7942"/>
  <c r="G30" i="7942"/>
  <c r="G31" i="7942"/>
  <c r="G32" i="7942"/>
  <c r="G33" i="7942"/>
  <c r="G34" i="7942"/>
  <c r="G35" i="7942"/>
  <c r="G36" i="7942"/>
  <c r="G37" i="7942"/>
  <c r="G38" i="7942"/>
  <c r="G39" i="7942"/>
  <c r="G40" i="7942"/>
  <c r="G41" i="7942"/>
  <c r="H6" i="7947"/>
  <c r="I6" i="7947"/>
  <c r="G205" i="7942"/>
  <c r="G173" i="7942"/>
  <c r="G206" i="7942"/>
  <c r="G238" i="7942"/>
  <c r="G174" i="7942"/>
  <c r="G207" i="7942"/>
  <c r="G175" i="7942"/>
  <c r="G208" i="7942"/>
  <c r="G240" i="7942" s="1"/>
  <c r="G176" i="7942"/>
  <c r="G209" i="7942"/>
  <c r="G177" i="7942"/>
  <c r="G210" i="7942"/>
  <c r="G242" i="7942" s="1"/>
  <c r="G178" i="7942"/>
  <c r="G211" i="7942"/>
  <c r="G179" i="7942"/>
  <c r="C35" i="7944"/>
  <c r="C99" i="7944" s="1"/>
  <c r="C34" i="7944"/>
  <c r="C98" i="7944" s="1"/>
  <c r="C33" i="7944"/>
  <c r="C97" i="7944" s="1"/>
  <c r="C32" i="7944"/>
  <c r="C96" i="7944" s="1"/>
  <c r="C31" i="7944"/>
  <c r="C95" i="7944" s="1"/>
  <c r="C30" i="7944"/>
  <c r="C94" i="7944" s="1"/>
  <c r="C29" i="7944"/>
  <c r="C93" i="7944" s="1"/>
  <c r="C28" i="7944"/>
  <c r="C92" i="7944" s="1"/>
  <c r="C25" i="7944"/>
  <c r="C89" i="7944" s="1"/>
  <c r="G57" i="7944"/>
  <c r="H57" i="7944"/>
  <c r="I57" i="7944"/>
  <c r="J57" i="7944"/>
  <c r="K57" i="7944"/>
  <c r="L57" i="7944"/>
  <c r="C24" i="7944"/>
  <c r="C88" i="7944" s="1"/>
  <c r="G56" i="7944"/>
  <c r="H56" i="7944"/>
  <c r="I56" i="7944"/>
  <c r="J56" i="7944"/>
  <c r="K56" i="7944"/>
  <c r="L56" i="7944"/>
  <c r="C23" i="7944"/>
  <c r="C87" i="7944" s="1"/>
  <c r="G55" i="7944"/>
  <c r="H55" i="7944"/>
  <c r="I55" i="7944"/>
  <c r="J55" i="7944"/>
  <c r="K55" i="7944"/>
  <c r="L55" i="7944"/>
  <c r="C22" i="7944"/>
  <c r="C86" i="7944" s="1"/>
  <c r="G54" i="7944"/>
  <c r="H54" i="7944"/>
  <c r="I54" i="7944"/>
  <c r="J54" i="7944"/>
  <c r="K54" i="7944"/>
  <c r="L54" i="7944"/>
  <c r="C21" i="7944"/>
  <c r="C85" i="7944" s="1"/>
  <c r="G53" i="7944"/>
  <c r="H53" i="7944"/>
  <c r="I53" i="7944"/>
  <c r="J53" i="7944"/>
  <c r="K53" i="7944"/>
  <c r="L53" i="7944"/>
  <c r="C20" i="7944"/>
  <c r="C84" i="7944" s="1"/>
  <c r="G52" i="7944"/>
  <c r="H52" i="7944"/>
  <c r="I52" i="7944"/>
  <c r="J52" i="7944"/>
  <c r="K52" i="7944"/>
  <c r="L52" i="7944"/>
  <c r="C19" i="7944"/>
  <c r="C83" i="7944" s="1"/>
  <c r="G51" i="7944"/>
  <c r="H51" i="7944"/>
  <c r="I51" i="7944"/>
  <c r="J51" i="7944"/>
  <c r="K51" i="7944"/>
  <c r="L51" i="7944"/>
  <c r="C18" i="7944"/>
  <c r="C82" i="7944" s="1"/>
  <c r="G50" i="7944"/>
  <c r="H50" i="7944"/>
  <c r="I50" i="7944"/>
  <c r="J50" i="7944"/>
  <c r="K50" i="7944"/>
  <c r="L50" i="7944"/>
  <c r="C17" i="7944"/>
  <c r="C81" i="7944" s="1"/>
  <c r="G49" i="7944"/>
  <c r="G81" i="7944"/>
  <c r="H49" i="7944"/>
  <c r="H81" i="7944" s="1"/>
  <c r="I49" i="7944"/>
  <c r="I81" i="7944"/>
  <c r="J49" i="7944"/>
  <c r="J81" i="7944" s="1"/>
  <c r="K49" i="7944"/>
  <c r="K81" i="7944"/>
  <c r="L49" i="7944"/>
  <c r="L81" i="7944" s="1"/>
  <c r="C16" i="7944"/>
  <c r="C80" i="7944"/>
  <c r="G48" i="7944"/>
  <c r="H48" i="7944"/>
  <c r="I48" i="7944"/>
  <c r="J48" i="7944"/>
  <c r="K48" i="7944"/>
  <c r="L48" i="7944"/>
  <c r="C13" i="7944"/>
  <c r="C77" i="7944"/>
  <c r="G45" i="7944"/>
  <c r="H45" i="7944"/>
  <c r="I45" i="7944"/>
  <c r="J45" i="7944"/>
  <c r="K45" i="7944"/>
  <c r="L45" i="7944"/>
  <c r="C12" i="7944"/>
  <c r="C76" i="7944"/>
  <c r="G44" i="7944"/>
  <c r="H44" i="7944"/>
  <c r="I44" i="7944"/>
  <c r="J44" i="7944"/>
  <c r="K44" i="7944"/>
  <c r="L44" i="7944"/>
  <c r="C11" i="7944"/>
  <c r="C75" i="7944"/>
  <c r="G43" i="7944"/>
  <c r="H43" i="7944"/>
  <c r="I43" i="7944"/>
  <c r="J43" i="7944"/>
  <c r="K43" i="7944"/>
  <c r="L43" i="7944"/>
  <c r="C10" i="7944"/>
  <c r="C74" i="7944"/>
  <c r="G42" i="7944"/>
  <c r="H42" i="7944"/>
  <c r="I42" i="7944"/>
  <c r="J42" i="7944"/>
  <c r="K42" i="7944"/>
  <c r="L42" i="7944"/>
  <c r="C9" i="7944"/>
  <c r="C73" i="7944"/>
  <c r="G41" i="7944"/>
  <c r="H41" i="7944"/>
  <c r="I41" i="7944"/>
  <c r="J41" i="7944"/>
  <c r="K41" i="7944"/>
  <c r="L41" i="7944"/>
  <c r="G341" i="7942"/>
  <c r="H341" i="7942"/>
  <c r="G212" i="7942"/>
  <c r="G180" i="7942"/>
  <c r="G213" i="7942"/>
  <c r="G181" i="7942"/>
  <c r="G245" i="7942" s="1"/>
  <c r="G214" i="7942"/>
  <c r="G182" i="7942"/>
  <c r="G215" i="7942"/>
  <c r="G183" i="7942"/>
  <c r="G216" i="7942"/>
  <c r="G184" i="7942"/>
  <c r="G217" i="7942"/>
  <c r="G249" i="7942" s="1"/>
  <c r="G185" i="7942"/>
  <c r="G218" i="7942"/>
  <c r="G250" i="7942"/>
  <c r="G186" i="7942"/>
  <c r="G219" i="7942"/>
  <c r="G187" i="7942"/>
  <c r="G220" i="7942"/>
  <c r="G252" i="7942" s="1"/>
  <c r="G188" i="7942"/>
  <c r="G221" i="7942"/>
  <c r="G189" i="7942"/>
  <c r="G222" i="7942"/>
  <c r="G254" i="7942"/>
  <c r="G190" i="7942"/>
  <c r="G223" i="7942"/>
  <c r="G191" i="7942"/>
  <c r="G224" i="7942"/>
  <c r="G256" i="7942" s="1"/>
  <c r="G192" i="7942"/>
  <c r="G225" i="7942"/>
  <c r="G193" i="7942"/>
  <c r="G257" i="7942"/>
  <c r="G226" i="7942"/>
  <c r="G194" i="7942"/>
  <c r="G227" i="7942"/>
  <c r="G195" i="7942"/>
  <c r="G228" i="7942"/>
  <c r="G196" i="7942"/>
  <c r="G229" i="7942"/>
  <c r="G197" i="7942"/>
  <c r="G230" i="7942"/>
  <c r="G198" i="7942"/>
  <c r="G231" i="7942"/>
  <c r="G199" i="7942"/>
  <c r="G232" i="7942"/>
  <c r="G200" i="7942"/>
  <c r="G233" i="7942"/>
  <c r="G201" i="7942"/>
  <c r="G234" i="7942"/>
  <c r="G266" i="7942" s="1"/>
  <c r="G202" i="7942"/>
  <c r="H40" i="1"/>
  <c r="H4" i="7944"/>
  <c r="G363" i="7942"/>
  <c r="H363" i="7942"/>
  <c r="G362" i="7942"/>
  <c r="H362" i="7942"/>
  <c r="G361" i="7942"/>
  <c r="H361" i="7942"/>
  <c r="G360" i="7942"/>
  <c r="H360" i="7942"/>
  <c r="G359" i="7942"/>
  <c r="H359" i="7942"/>
  <c r="G358" i="7942"/>
  <c r="H358" i="7942"/>
  <c r="G357" i="7942"/>
  <c r="H357" i="7942"/>
  <c r="G356" i="7942"/>
  <c r="H356" i="7942"/>
  <c r="G355" i="7942"/>
  <c r="H355" i="7942"/>
  <c r="G354" i="7942"/>
  <c r="H354" i="7942"/>
  <c r="G353" i="7942"/>
  <c r="H353" i="7942"/>
  <c r="G352" i="7942"/>
  <c r="H352" i="7942"/>
  <c r="G351" i="7942"/>
  <c r="H351" i="7942"/>
  <c r="G350" i="7942"/>
  <c r="H350" i="7942"/>
  <c r="G349" i="7942"/>
  <c r="H349" i="7942"/>
  <c r="G348" i="7942"/>
  <c r="H348" i="7942"/>
  <c r="G347" i="7942"/>
  <c r="H347" i="7942"/>
  <c r="G346" i="7942"/>
  <c r="H346" i="7942"/>
  <c r="G345" i="7942"/>
  <c r="H345" i="7942"/>
  <c r="G344" i="7942"/>
  <c r="H344" i="7942"/>
  <c r="G343" i="7942"/>
  <c r="H343" i="7942"/>
  <c r="G342" i="7942"/>
  <c r="H342" i="7942"/>
  <c r="C37" i="7944"/>
  <c r="C101" i="7944"/>
  <c r="G37" i="7944"/>
  <c r="R71" i="7944"/>
  <c r="C15" i="7944"/>
  <c r="C79" i="7944"/>
  <c r="G47" i="7944"/>
  <c r="C27" i="7944"/>
  <c r="C91" i="7944" s="1"/>
  <c r="G59" i="7944"/>
  <c r="R39" i="7944"/>
  <c r="Q39" i="7944"/>
  <c r="P39" i="7944"/>
  <c r="O39" i="7944"/>
  <c r="N39" i="7944"/>
  <c r="M39" i="7944"/>
  <c r="L47" i="7944"/>
  <c r="L59" i="7944"/>
  <c r="K47" i="7944"/>
  <c r="K59" i="7944"/>
  <c r="J47" i="7944"/>
  <c r="J59" i="7944"/>
  <c r="I47" i="7944"/>
  <c r="I59" i="7944"/>
  <c r="H47" i="7944"/>
  <c r="H59" i="7944"/>
  <c r="C8" i="7944"/>
  <c r="C72" i="7944"/>
  <c r="S41" i="1"/>
  <c r="S42" i="1"/>
  <c r="S43" i="1"/>
  <c r="S44" i="1"/>
  <c r="S45" i="1"/>
  <c r="S46" i="1"/>
  <c r="S48" i="1"/>
  <c r="S49" i="1"/>
  <c r="S50" i="1"/>
  <c r="S51" i="1"/>
  <c r="S52" i="1"/>
  <c r="S53" i="1"/>
  <c r="S54" i="1"/>
  <c r="S55" i="1"/>
  <c r="S56" i="1"/>
  <c r="S57" i="1"/>
  <c r="S58" i="1"/>
  <c r="S60" i="1"/>
  <c r="S61" i="1"/>
  <c r="S62" i="1"/>
  <c r="S63" i="1"/>
  <c r="S64" i="1"/>
  <c r="S65" i="1"/>
  <c r="S66" i="1"/>
  <c r="S67" i="1"/>
  <c r="S68" i="1"/>
  <c r="C41" i="7944"/>
  <c r="C42" i="7944"/>
  <c r="C43" i="7944"/>
  <c r="C44" i="7944"/>
  <c r="C45" i="7944"/>
  <c r="C47" i="7944"/>
  <c r="C48" i="7944"/>
  <c r="C49" i="7944"/>
  <c r="C50" i="7944"/>
  <c r="C51" i="7944"/>
  <c r="C52" i="7944"/>
  <c r="C53" i="7944"/>
  <c r="C54" i="7944"/>
  <c r="C55" i="7944"/>
  <c r="C56" i="7944"/>
  <c r="C57" i="7944"/>
  <c r="C59" i="7944"/>
  <c r="C60" i="7944"/>
  <c r="C61" i="7944"/>
  <c r="C62" i="7944"/>
  <c r="C63" i="7944"/>
  <c r="C64" i="7944"/>
  <c r="C65" i="7944"/>
  <c r="C66" i="7944"/>
  <c r="C67" i="7944"/>
  <c r="C69" i="7944"/>
  <c r="B2" i="7947"/>
  <c r="C425" i="7947"/>
  <c r="B413" i="7947"/>
  <c r="C411" i="7947"/>
  <c r="B399" i="7947"/>
  <c r="C397" i="7947"/>
  <c r="B385" i="7947"/>
  <c r="C383" i="7947"/>
  <c r="B371" i="7947"/>
  <c r="C369" i="7947"/>
  <c r="B357" i="7947"/>
  <c r="C355" i="7947"/>
  <c r="B343" i="7947"/>
  <c r="C341" i="7947"/>
  <c r="B329" i="7947"/>
  <c r="C327" i="7947"/>
  <c r="B315" i="7947"/>
  <c r="C313" i="7947"/>
  <c r="B301" i="7947"/>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M6" i="18"/>
  <c r="N6" i="18"/>
  <c r="O6" i="18"/>
  <c r="P6" i="18"/>
  <c r="Q6" i="18"/>
  <c r="C135" i="18"/>
  <c r="G3" i="7944"/>
  <c r="H3" i="7944" s="1"/>
  <c r="I3" i="7944" s="1"/>
  <c r="J3" i="7944" s="1"/>
  <c r="K3" i="7944" s="1"/>
  <c r="L3" i="7944" s="1"/>
  <c r="M3" i="7944" s="1"/>
  <c r="N3" i="7944" s="1"/>
  <c r="O3" i="7944" s="1"/>
  <c r="P3" i="7944" s="1"/>
  <c r="Q3" i="7944" s="1"/>
  <c r="R3" i="7944" s="1"/>
  <c r="M163" i="18"/>
  <c r="M164" i="18"/>
  <c r="M165" i="18"/>
  <c r="M166" i="18"/>
  <c r="M167" i="18"/>
  <c r="M176" i="18"/>
  <c r="M177" i="18"/>
  <c r="M178" i="18"/>
  <c r="M179" i="18"/>
  <c r="M180" i="18"/>
  <c r="M189" i="18"/>
  <c r="M190" i="18"/>
  <c r="M191" i="18"/>
  <c r="M192" i="18"/>
  <c r="M193" i="18"/>
  <c r="M202" i="18"/>
  <c r="M203" i="18"/>
  <c r="M204" i="18"/>
  <c r="M205" i="18"/>
  <c r="M206" i="18"/>
  <c r="M215" i="18"/>
  <c r="M216" i="18"/>
  <c r="M217" i="18"/>
  <c r="M218" i="18"/>
  <c r="M219" i="18"/>
  <c r="M228" i="18"/>
  <c r="M229" i="18"/>
  <c r="M230" i="18"/>
  <c r="M231" i="18"/>
  <c r="M232" i="18"/>
  <c r="M241" i="18"/>
  <c r="M242" i="18"/>
  <c r="M243" i="18"/>
  <c r="M244" i="18"/>
  <c r="M245" i="18"/>
  <c r="M254" i="18"/>
  <c r="M255" i="18"/>
  <c r="M256" i="18"/>
  <c r="M257" i="18"/>
  <c r="M258" i="18"/>
  <c r="M267" i="18"/>
  <c r="M268" i="18"/>
  <c r="M269" i="18"/>
  <c r="M270" i="18"/>
  <c r="M271" i="18"/>
  <c r="M280" i="18"/>
  <c r="M281" i="18"/>
  <c r="M282" i="18"/>
  <c r="M283" i="18"/>
  <c r="M284" i="18"/>
  <c r="M293" i="18"/>
  <c r="M294" i="18"/>
  <c r="M295" i="18"/>
  <c r="M296" i="18"/>
  <c r="M297" i="18"/>
  <c r="M306" i="18"/>
  <c r="M307" i="18"/>
  <c r="M308" i="18"/>
  <c r="M309" i="18"/>
  <c r="M310" i="18"/>
  <c r="M319" i="18"/>
  <c r="M320" i="18"/>
  <c r="M321" i="18"/>
  <c r="M322" i="18"/>
  <c r="M323" i="18"/>
  <c r="M332" i="18"/>
  <c r="M333" i="18"/>
  <c r="M334" i="18"/>
  <c r="M335" i="18"/>
  <c r="M336" i="18"/>
  <c r="M345" i="18"/>
  <c r="M346" i="18"/>
  <c r="M347" i="18"/>
  <c r="M348" i="18"/>
  <c r="M349" i="18"/>
  <c r="M358" i="18"/>
  <c r="M359" i="18"/>
  <c r="M360" i="18"/>
  <c r="M361" i="18"/>
  <c r="M362" i="18"/>
  <c r="M371" i="18"/>
  <c r="M372" i="18"/>
  <c r="M373" i="18"/>
  <c r="M374" i="18"/>
  <c r="M375" i="18"/>
  <c r="M384" i="18"/>
  <c r="M385" i="18"/>
  <c r="M386" i="18"/>
  <c r="M387" i="18"/>
  <c r="M388" i="18"/>
  <c r="M397" i="18"/>
  <c r="M398" i="18"/>
  <c r="M399" i="18"/>
  <c r="M400" i="18"/>
  <c r="M401" i="18"/>
  <c r="M410" i="18"/>
  <c r="M411" i="18"/>
  <c r="M412" i="18"/>
  <c r="M413" i="18"/>
  <c r="M414" i="18"/>
  <c r="M423" i="18"/>
  <c r="M424" i="18"/>
  <c r="M425" i="18"/>
  <c r="M426" i="18"/>
  <c r="M427" i="18"/>
  <c r="N163" i="18"/>
  <c r="N164" i="18"/>
  <c r="N165" i="18"/>
  <c r="N166" i="18"/>
  <c r="N167" i="18"/>
  <c r="N168" i="18"/>
  <c r="N176" i="18"/>
  <c r="N177" i="18"/>
  <c r="N178" i="18"/>
  <c r="N179" i="18"/>
  <c r="N180" i="18"/>
  <c r="N181" i="18"/>
  <c r="N189" i="18"/>
  <c r="N190" i="18"/>
  <c r="N191" i="18"/>
  <c r="N192" i="18"/>
  <c r="N193" i="18"/>
  <c r="N194" i="18"/>
  <c r="N202" i="18"/>
  <c r="N203" i="18"/>
  <c r="N204" i="18"/>
  <c r="N205" i="18"/>
  <c r="N206" i="18"/>
  <c r="N207" i="18"/>
  <c r="N215" i="18"/>
  <c r="N216" i="18"/>
  <c r="N217" i="18"/>
  <c r="N218" i="18"/>
  <c r="N219" i="18"/>
  <c r="N220" i="18"/>
  <c r="N228" i="18"/>
  <c r="N229" i="18"/>
  <c r="N230" i="18"/>
  <c r="N231" i="18"/>
  <c r="N232" i="18"/>
  <c r="N233" i="18"/>
  <c r="N241" i="18"/>
  <c r="N242" i="18"/>
  <c r="N243" i="18"/>
  <c r="N244" i="18"/>
  <c r="N245" i="18"/>
  <c r="N246" i="18"/>
  <c r="N254" i="18"/>
  <c r="N255" i="18"/>
  <c r="N256" i="18"/>
  <c r="N257" i="18"/>
  <c r="N258" i="18"/>
  <c r="N259" i="18"/>
  <c r="N267" i="18"/>
  <c r="N268" i="18"/>
  <c r="N269" i="18"/>
  <c r="N270" i="18"/>
  <c r="N271" i="18"/>
  <c r="N272" i="18"/>
  <c r="N280" i="18"/>
  <c r="N281" i="18"/>
  <c r="N282" i="18"/>
  <c r="N283" i="18"/>
  <c r="N284" i="18"/>
  <c r="N285" i="18"/>
  <c r="N293" i="18"/>
  <c r="N294" i="18"/>
  <c r="N295" i="18"/>
  <c r="N296" i="18"/>
  <c r="N297" i="18"/>
  <c r="N298" i="18"/>
  <c r="N306" i="18"/>
  <c r="N307" i="18"/>
  <c r="N308" i="18"/>
  <c r="N309" i="18"/>
  <c r="N310" i="18"/>
  <c r="N311" i="18"/>
  <c r="N319" i="18"/>
  <c r="N320" i="18"/>
  <c r="N321" i="18"/>
  <c r="N322" i="18"/>
  <c r="N323" i="18"/>
  <c r="N324" i="18"/>
  <c r="N332" i="18"/>
  <c r="N333" i="18"/>
  <c r="N334" i="18"/>
  <c r="N335" i="18"/>
  <c r="N336" i="18"/>
  <c r="N337" i="18"/>
  <c r="N345" i="18"/>
  <c r="N346" i="18"/>
  <c r="N347" i="18"/>
  <c r="N348" i="18"/>
  <c r="N349" i="18"/>
  <c r="N350" i="18"/>
  <c r="N358" i="18"/>
  <c r="N359" i="18"/>
  <c r="N360" i="18"/>
  <c r="N361" i="18"/>
  <c r="N362" i="18"/>
  <c r="N363" i="18"/>
  <c r="N371" i="18"/>
  <c r="N372" i="18"/>
  <c r="N373" i="18"/>
  <c r="N374" i="18"/>
  <c r="N375" i="18"/>
  <c r="N376" i="18"/>
  <c r="N384" i="18"/>
  <c r="N385" i="18"/>
  <c r="N386" i="18"/>
  <c r="N387" i="18"/>
  <c r="N388" i="18"/>
  <c r="N389" i="18"/>
  <c r="N397" i="18"/>
  <c r="N398" i="18"/>
  <c r="N399" i="18"/>
  <c r="N400" i="18"/>
  <c r="N401" i="18"/>
  <c r="N402" i="18"/>
  <c r="N410" i="18"/>
  <c r="N411" i="18"/>
  <c r="N412" i="18"/>
  <c r="N413" i="18"/>
  <c r="N414" i="18"/>
  <c r="N415" i="18"/>
  <c r="N423" i="18"/>
  <c r="N424" i="18"/>
  <c r="N425" i="18"/>
  <c r="N426" i="18"/>
  <c r="N427" i="18"/>
  <c r="N428" i="18"/>
  <c r="O163" i="18"/>
  <c r="O164" i="18"/>
  <c r="O165" i="18"/>
  <c r="O166" i="18"/>
  <c r="O167" i="18"/>
  <c r="O168" i="18"/>
  <c r="O169" i="18"/>
  <c r="O176" i="18"/>
  <c r="O177" i="18"/>
  <c r="O178" i="18"/>
  <c r="O179" i="18"/>
  <c r="O180" i="18"/>
  <c r="O181" i="18"/>
  <c r="O182" i="18"/>
  <c r="O189" i="18"/>
  <c r="O190" i="18"/>
  <c r="O191" i="18"/>
  <c r="O192" i="18"/>
  <c r="O193" i="18"/>
  <c r="O194" i="18"/>
  <c r="O195" i="18"/>
  <c r="O202" i="18"/>
  <c r="O203" i="18"/>
  <c r="O204" i="18"/>
  <c r="O205" i="18"/>
  <c r="O206" i="18"/>
  <c r="O207" i="18"/>
  <c r="O208" i="18"/>
  <c r="O215" i="18"/>
  <c r="O216" i="18"/>
  <c r="O217" i="18"/>
  <c r="O218" i="18"/>
  <c r="O219" i="18"/>
  <c r="O220" i="18"/>
  <c r="O221" i="18"/>
  <c r="O228" i="18"/>
  <c r="O229" i="18"/>
  <c r="O230" i="18"/>
  <c r="O231" i="18"/>
  <c r="O232" i="18"/>
  <c r="O233" i="18"/>
  <c r="O234" i="18"/>
  <c r="O241" i="18"/>
  <c r="O242" i="18"/>
  <c r="O243" i="18"/>
  <c r="O244" i="18"/>
  <c r="O245" i="18"/>
  <c r="O246" i="18"/>
  <c r="O247" i="18"/>
  <c r="O254" i="18"/>
  <c r="O255" i="18"/>
  <c r="O256" i="18"/>
  <c r="O257" i="18"/>
  <c r="O258" i="18"/>
  <c r="O259" i="18"/>
  <c r="O260" i="18"/>
  <c r="O267" i="18"/>
  <c r="O268" i="18"/>
  <c r="O269" i="18"/>
  <c r="O270" i="18"/>
  <c r="O271" i="18"/>
  <c r="O272" i="18"/>
  <c r="O273" i="18"/>
  <c r="O280" i="18"/>
  <c r="O281" i="18"/>
  <c r="O282" i="18"/>
  <c r="O283" i="18"/>
  <c r="O284" i="18"/>
  <c r="O285" i="18"/>
  <c r="O286" i="18"/>
  <c r="O293" i="18"/>
  <c r="O294" i="18"/>
  <c r="O295" i="18"/>
  <c r="O296" i="18"/>
  <c r="O297" i="18"/>
  <c r="O298" i="18"/>
  <c r="O299" i="18"/>
  <c r="O306" i="18"/>
  <c r="O307" i="18"/>
  <c r="O308" i="18"/>
  <c r="O309" i="18"/>
  <c r="O310" i="18"/>
  <c r="O311" i="18"/>
  <c r="O312" i="18"/>
  <c r="O319" i="18"/>
  <c r="O320" i="18"/>
  <c r="O321" i="18"/>
  <c r="O322" i="18"/>
  <c r="O323" i="18"/>
  <c r="O324" i="18"/>
  <c r="O325" i="18"/>
  <c r="O332" i="18"/>
  <c r="O333" i="18"/>
  <c r="O334" i="18"/>
  <c r="O335" i="18"/>
  <c r="O336" i="18"/>
  <c r="O337" i="18"/>
  <c r="O338" i="18"/>
  <c r="O345" i="18"/>
  <c r="O346" i="18"/>
  <c r="O347" i="18"/>
  <c r="O348" i="18"/>
  <c r="O349" i="18"/>
  <c r="O350" i="18"/>
  <c r="O351" i="18"/>
  <c r="O358" i="18"/>
  <c r="O359" i="18"/>
  <c r="O360" i="18"/>
  <c r="O361" i="18"/>
  <c r="O362" i="18"/>
  <c r="O363" i="18"/>
  <c r="O364" i="18"/>
  <c r="O371" i="18"/>
  <c r="O372" i="18"/>
  <c r="O373" i="18"/>
  <c r="O374" i="18"/>
  <c r="O375" i="18"/>
  <c r="O376" i="18"/>
  <c r="O377" i="18"/>
  <c r="O384" i="18"/>
  <c r="O385" i="18"/>
  <c r="O386" i="18"/>
  <c r="O387" i="18"/>
  <c r="O388" i="18"/>
  <c r="O389" i="18"/>
  <c r="O390" i="18"/>
  <c r="O397" i="18"/>
  <c r="O398" i="18"/>
  <c r="O399" i="18"/>
  <c r="O400" i="18"/>
  <c r="O401" i="18"/>
  <c r="O402" i="18"/>
  <c r="O403" i="18"/>
  <c r="O410" i="18"/>
  <c r="O411" i="18"/>
  <c r="O412" i="18"/>
  <c r="O413" i="18"/>
  <c r="O414" i="18"/>
  <c r="O415" i="18"/>
  <c r="O416" i="18"/>
  <c r="O423" i="18"/>
  <c r="O424" i="18"/>
  <c r="O425" i="18"/>
  <c r="O426" i="18"/>
  <c r="O427" i="18"/>
  <c r="O428" i="18"/>
  <c r="O429" i="18"/>
  <c r="P163" i="18"/>
  <c r="P164" i="18"/>
  <c r="P165" i="18"/>
  <c r="P166" i="18"/>
  <c r="P167" i="18"/>
  <c r="P168" i="18"/>
  <c r="P169" i="18"/>
  <c r="P170" i="18"/>
  <c r="P176" i="18"/>
  <c r="P177" i="18"/>
  <c r="P178" i="18"/>
  <c r="P179" i="18"/>
  <c r="P180" i="18"/>
  <c r="P181" i="18"/>
  <c r="P182" i="18"/>
  <c r="P183" i="18"/>
  <c r="P189" i="18"/>
  <c r="P190" i="18"/>
  <c r="P191" i="18"/>
  <c r="P192" i="18"/>
  <c r="P193" i="18"/>
  <c r="P194" i="18"/>
  <c r="P195" i="18"/>
  <c r="P196" i="18"/>
  <c r="P202" i="18"/>
  <c r="P203" i="18"/>
  <c r="P204" i="18"/>
  <c r="P205" i="18"/>
  <c r="P206" i="18"/>
  <c r="P207" i="18"/>
  <c r="P208" i="18"/>
  <c r="P209" i="18"/>
  <c r="P215" i="18"/>
  <c r="P216" i="18"/>
  <c r="P217" i="18"/>
  <c r="P218" i="18"/>
  <c r="P219" i="18"/>
  <c r="P220" i="18"/>
  <c r="P221" i="18"/>
  <c r="P222" i="18"/>
  <c r="P228" i="18"/>
  <c r="P229" i="18"/>
  <c r="P230" i="18"/>
  <c r="P231" i="18"/>
  <c r="P232" i="18"/>
  <c r="P233" i="18"/>
  <c r="P234" i="18"/>
  <c r="P235" i="18"/>
  <c r="P241" i="18"/>
  <c r="P242" i="18"/>
  <c r="P243" i="18"/>
  <c r="P244" i="18"/>
  <c r="P245" i="18"/>
  <c r="P246" i="18"/>
  <c r="P247" i="18"/>
  <c r="P248" i="18"/>
  <c r="P254" i="18"/>
  <c r="P255" i="18"/>
  <c r="P256" i="18"/>
  <c r="P257" i="18"/>
  <c r="P258" i="18"/>
  <c r="P259" i="18"/>
  <c r="P260" i="18"/>
  <c r="P261" i="18"/>
  <c r="P267" i="18"/>
  <c r="P268" i="18"/>
  <c r="P269" i="18"/>
  <c r="P270" i="18"/>
  <c r="P271" i="18"/>
  <c r="P272" i="18"/>
  <c r="P273" i="18"/>
  <c r="P274" i="18"/>
  <c r="P280" i="18"/>
  <c r="P281" i="18"/>
  <c r="P282" i="18"/>
  <c r="P283" i="18"/>
  <c r="P284" i="18"/>
  <c r="P285" i="18"/>
  <c r="P286" i="18"/>
  <c r="P287" i="18"/>
  <c r="P293" i="18"/>
  <c r="P294" i="18"/>
  <c r="P295" i="18"/>
  <c r="P296" i="18"/>
  <c r="P297" i="18"/>
  <c r="P298" i="18"/>
  <c r="P299" i="18"/>
  <c r="P300" i="18"/>
  <c r="P306" i="18"/>
  <c r="P307" i="18"/>
  <c r="P308" i="18"/>
  <c r="P309" i="18"/>
  <c r="P310" i="18"/>
  <c r="P311" i="18"/>
  <c r="P312" i="18"/>
  <c r="P313" i="18"/>
  <c r="P319" i="18"/>
  <c r="P320" i="18"/>
  <c r="P321" i="18"/>
  <c r="P322" i="18"/>
  <c r="P323" i="18"/>
  <c r="P324" i="18"/>
  <c r="P325" i="18"/>
  <c r="P326" i="18"/>
  <c r="P332" i="18"/>
  <c r="P333" i="18"/>
  <c r="P334" i="18"/>
  <c r="P335" i="18"/>
  <c r="P336" i="18"/>
  <c r="P337" i="18"/>
  <c r="P338" i="18"/>
  <c r="P339" i="18"/>
  <c r="P345" i="18"/>
  <c r="P346" i="18"/>
  <c r="P347" i="18"/>
  <c r="P348" i="18"/>
  <c r="P349" i="18"/>
  <c r="P350" i="18"/>
  <c r="P351" i="18"/>
  <c r="P352" i="18"/>
  <c r="P358" i="18"/>
  <c r="P359" i="18"/>
  <c r="P360" i="18"/>
  <c r="P361" i="18"/>
  <c r="P362" i="18"/>
  <c r="P363" i="18"/>
  <c r="P364" i="18"/>
  <c r="P365" i="18"/>
  <c r="P371" i="18"/>
  <c r="P372" i="18"/>
  <c r="P373" i="18"/>
  <c r="P374" i="18"/>
  <c r="P375" i="18"/>
  <c r="P376" i="18"/>
  <c r="P377" i="18"/>
  <c r="P378" i="18"/>
  <c r="P384" i="18"/>
  <c r="P385" i="18"/>
  <c r="P386" i="18"/>
  <c r="P387" i="18"/>
  <c r="P388" i="18"/>
  <c r="P389" i="18"/>
  <c r="P390" i="18"/>
  <c r="P391" i="18"/>
  <c r="P397" i="18"/>
  <c r="P398" i="18"/>
  <c r="P399" i="18"/>
  <c r="P400" i="18"/>
  <c r="P401" i="18"/>
  <c r="P402" i="18"/>
  <c r="P403" i="18"/>
  <c r="P404" i="18"/>
  <c r="P410" i="18"/>
  <c r="P411" i="18"/>
  <c r="P412" i="18"/>
  <c r="P413" i="18"/>
  <c r="P414" i="18"/>
  <c r="P415" i="18"/>
  <c r="P416" i="18"/>
  <c r="P417" i="18"/>
  <c r="P423" i="18"/>
  <c r="P424" i="18"/>
  <c r="P425" i="18"/>
  <c r="P426" i="18"/>
  <c r="P427" i="18"/>
  <c r="P428" i="18"/>
  <c r="P429" i="18"/>
  <c r="P430" i="18"/>
  <c r="Q163" i="18"/>
  <c r="Q164" i="18"/>
  <c r="Q165" i="18"/>
  <c r="Q166" i="18"/>
  <c r="Q167" i="18"/>
  <c r="Q168" i="18"/>
  <c r="Q169" i="18"/>
  <c r="Q170" i="18"/>
  <c r="Q171" i="18"/>
  <c r="Q176" i="18"/>
  <c r="Q177" i="18"/>
  <c r="Q178" i="18"/>
  <c r="Q179" i="18"/>
  <c r="Q180" i="18"/>
  <c r="Q181" i="18"/>
  <c r="Q182" i="18"/>
  <c r="Q183" i="18"/>
  <c r="Q184" i="18"/>
  <c r="Q189" i="18"/>
  <c r="Q190" i="18"/>
  <c r="Q191" i="18"/>
  <c r="Q192" i="18"/>
  <c r="Q193" i="18"/>
  <c r="Q194" i="18"/>
  <c r="Q195" i="18"/>
  <c r="Q196" i="18"/>
  <c r="Q197" i="18"/>
  <c r="Q202" i="18"/>
  <c r="Q203" i="18"/>
  <c r="Q204" i="18"/>
  <c r="Q205" i="18"/>
  <c r="Q206" i="18"/>
  <c r="Q207" i="18"/>
  <c r="Q208" i="18"/>
  <c r="Q209" i="18"/>
  <c r="Q210" i="18"/>
  <c r="Q215" i="18"/>
  <c r="Q216" i="18"/>
  <c r="Q217" i="18"/>
  <c r="Q218" i="18"/>
  <c r="Q219" i="18"/>
  <c r="Q220" i="18"/>
  <c r="Q221" i="18"/>
  <c r="Q222" i="18"/>
  <c r="Q223" i="18"/>
  <c r="Q228" i="18"/>
  <c r="Q229" i="18"/>
  <c r="Q230" i="18"/>
  <c r="Q231" i="18"/>
  <c r="Q232" i="18"/>
  <c r="Q233" i="18"/>
  <c r="Q234" i="18"/>
  <c r="Q235" i="18"/>
  <c r="Q236" i="18"/>
  <c r="Q241" i="18"/>
  <c r="Q242" i="18"/>
  <c r="Q243" i="18"/>
  <c r="Q244" i="18"/>
  <c r="Q245" i="18"/>
  <c r="Q246" i="18"/>
  <c r="Q247" i="18"/>
  <c r="Q248" i="18"/>
  <c r="Q249" i="18"/>
  <c r="Q254" i="18"/>
  <c r="Q255" i="18"/>
  <c r="Q256" i="18"/>
  <c r="Q257" i="18"/>
  <c r="Q258" i="18"/>
  <c r="Q259" i="18"/>
  <c r="Q260" i="18"/>
  <c r="Q261" i="18"/>
  <c r="Q262" i="18"/>
  <c r="Q267" i="18"/>
  <c r="Q268" i="18"/>
  <c r="Q269" i="18"/>
  <c r="Q270" i="18"/>
  <c r="Q271" i="18"/>
  <c r="Q272" i="18"/>
  <c r="Q273" i="18"/>
  <c r="Q274" i="18"/>
  <c r="Q275" i="18"/>
  <c r="Q280" i="18"/>
  <c r="Q281" i="18"/>
  <c r="Q282" i="18"/>
  <c r="Q283" i="18"/>
  <c r="Q284" i="18"/>
  <c r="Q285" i="18"/>
  <c r="Q286" i="18"/>
  <c r="Q287" i="18"/>
  <c r="Q288" i="18"/>
  <c r="Q293" i="18"/>
  <c r="Q294" i="18"/>
  <c r="Q295" i="18"/>
  <c r="Q296" i="18"/>
  <c r="Q297" i="18"/>
  <c r="Q298" i="18"/>
  <c r="Q299" i="18"/>
  <c r="Q300" i="18"/>
  <c r="Q301" i="18"/>
  <c r="Q306" i="18"/>
  <c r="Q307" i="18"/>
  <c r="Q308" i="18"/>
  <c r="Q309" i="18"/>
  <c r="Q310" i="18"/>
  <c r="Q311" i="18"/>
  <c r="Q312" i="18"/>
  <c r="Q313" i="18"/>
  <c r="Q314" i="18"/>
  <c r="Q319" i="18"/>
  <c r="Q320" i="18"/>
  <c r="Q321" i="18"/>
  <c r="Q322" i="18"/>
  <c r="Q323" i="18"/>
  <c r="Q324" i="18"/>
  <c r="Q325" i="18"/>
  <c r="Q326" i="18"/>
  <c r="Q327" i="18"/>
  <c r="Q332" i="18"/>
  <c r="Q333" i="18"/>
  <c r="Q334" i="18"/>
  <c r="Q335" i="18"/>
  <c r="Q336" i="18"/>
  <c r="Q337" i="18"/>
  <c r="Q338" i="18"/>
  <c r="Q339" i="18"/>
  <c r="Q340" i="18"/>
  <c r="Q345" i="18"/>
  <c r="Q346" i="18"/>
  <c r="Q347" i="18"/>
  <c r="Q348" i="18"/>
  <c r="Q349" i="18"/>
  <c r="Q350" i="18"/>
  <c r="Q351" i="18"/>
  <c r="Q352" i="18"/>
  <c r="Q353" i="18"/>
  <c r="Q358" i="18"/>
  <c r="Q359" i="18"/>
  <c r="Q360" i="18"/>
  <c r="Q361" i="18"/>
  <c r="Q362" i="18"/>
  <c r="Q363" i="18"/>
  <c r="Q364" i="18"/>
  <c r="Q365" i="18"/>
  <c r="Q366" i="18"/>
  <c r="Q371" i="18"/>
  <c r="Q372" i="18"/>
  <c r="Q373" i="18"/>
  <c r="Q374" i="18"/>
  <c r="Q375" i="18"/>
  <c r="Q376" i="18"/>
  <c r="Q377" i="18"/>
  <c r="Q378" i="18"/>
  <c r="Q379" i="18"/>
  <c r="Q384" i="18"/>
  <c r="Q385" i="18"/>
  <c r="Q386" i="18"/>
  <c r="Q387" i="18"/>
  <c r="Q388" i="18"/>
  <c r="Q389" i="18"/>
  <c r="Q390" i="18"/>
  <c r="Q391" i="18"/>
  <c r="Q392" i="18"/>
  <c r="Q397" i="18"/>
  <c r="Q398" i="18"/>
  <c r="Q399" i="18"/>
  <c r="Q400" i="18"/>
  <c r="Q401" i="18"/>
  <c r="Q402" i="18"/>
  <c r="Q403" i="18"/>
  <c r="Q404" i="18"/>
  <c r="Q405" i="18"/>
  <c r="Q410" i="18"/>
  <c r="Q411" i="18"/>
  <c r="Q412" i="18"/>
  <c r="Q413" i="18"/>
  <c r="Q414" i="18"/>
  <c r="Q415" i="18"/>
  <c r="Q416" i="18"/>
  <c r="Q417" i="18"/>
  <c r="Q418" i="18"/>
  <c r="Q423" i="18"/>
  <c r="Q424" i="18"/>
  <c r="Q425" i="18"/>
  <c r="Q426" i="18"/>
  <c r="Q427" i="18"/>
  <c r="Q428" i="18"/>
  <c r="Q429" i="18"/>
  <c r="Q430" i="18"/>
  <c r="Q431" i="18"/>
  <c r="G429" i="7942"/>
  <c r="Q139" i="1"/>
  <c r="P139" i="1"/>
  <c r="O139" i="1"/>
  <c r="N139" i="1"/>
  <c r="M139" i="1"/>
  <c r="Q105" i="1"/>
  <c r="P105" i="1"/>
  <c r="O105" i="1"/>
  <c r="N105" i="1"/>
  <c r="M105" i="1"/>
  <c r="Q71" i="1"/>
  <c r="P71" i="1"/>
  <c r="O71" i="1"/>
  <c r="N71" i="1"/>
  <c r="M71" i="1"/>
  <c r="R37" i="1"/>
  <c r="Q37" i="1"/>
  <c r="P37" i="1"/>
  <c r="O37" i="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F128" i="1"/>
  <c r="F127" i="1"/>
  <c r="F126" i="1"/>
  <c r="F125" i="1"/>
  <c r="F124" i="1"/>
  <c r="F123" i="1"/>
  <c r="F122" i="1"/>
  <c r="F121" i="1"/>
  <c r="F120" i="1"/>
  <c r="F119" i="1"/>
  <c r="F118" i="1"/>
  <c r="F117" i="1"/>
  <c r="F116" i="1"/>
  <c r="F115" i="1"/>
  <c r="F114" i="1"/>
  <c r="F113" i="1"/>
  <c r="F112" i="1"/>
  <c r="F111" i="1"/>
  <c r="F110" i="1"/>
  <c r="F109" i="1"/>
  <c r="C291" i="18"/>
  <c r="C278" i="18"/>
  <c r="C265" i="18"/>
  <c r="C252" i="18"/>
  <c r="C239" i="18"/>
  <c r="C226" i="18"/>
  <c r="C213" i="18"/>
  <c r="C200" i="18"/>
  <c r="C187" i="18"/>
  <c r="C174" i="18"/>
  <c r="C161" i="18"/>
  <c r="C148" i="18"/>
  <c r="C122" i="18"/>
  <c r="C109" i="18"/>
  <c r="C96" i="18"/>
  <c r="C83" i="18"/>
  <c r="C70" i="18"/>
  <c r="C57" i="18"/>
  <c r="C44" i="18"/>
  <c r="F5" i="1"/>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26" i="18"/>
  <c r="H213" i="18"/>
  <c r="H174" i="18"/>
  <c r="H161" i="18"/>
  <c r="H173" i="18" s="1"/>
  <c r="G150" i="1"/>
  <c r="G101" i="7944"/>
  <c r="G40" i="1"/>
  <c r="G4" i="18" s="1"/>
  <c r="G33" i="7941"/>
  <c r="G29" i="7941"/>
  <c r="G25" i="7941"/>
  <c r="G21" i="7941"/>
  <c r="G17" i="7941"/>
  <c r="G36" i="7941"/>
  <c r="G32" i="7941"/>
  <c r="G28" i="7941"/>
  <c r="G24" i="7941"/>
  <c r="G20" i="7941"/>
  <c r="G16" i="7941"/>
  <c r="G31" i="7941"/>
  <c r="G27" i="7941"/>
  <c r="G23" i="7941"/>
  <c r="G10" i="7944"/>
  <c r="G74" i="7944" s="1"/>
  <c r="G11" i="7944"/>
  <c r="G75" i="7944"/>
  <c r="H11" i="7944" s="1"/>
  <c r="G32" i="7944"/>
  <c r="G35" i="7944"/>
  <c r="G31" i="7944"/>
  <c r="G18" i="7944"/>
  <c r="G33" i="7944"/>
  <c r="G13" i="7944"/>
  <c r="G77" i="7944"/>
  <c r="H13" i="7944" s="1"/>
  <c r="G30" i="7944"/>
  <c r="G28" i="7944"/>
  <c r="G19" i="7944"/>
  <c r="G83" i="7944" s="1"/>
  <c r="H19" i="7944" s="1"/>
  <c r="G151" i="1"/>
  <c r="T70" i="1"/>
  <c r="G69" i="7944"/>
  <c r="G183" i="1"/>
  <c r="H135" i="18"/>
  <c r="H148" i="18"/>
  <c r="H180" i="1"/>
  <c r="I179" i="1"/>
  <c r="J179" i="1" s="1"/>
  <c r="K179" i="1" s="1"/>
  <c r="L179" i="1" s="1"/>
  <c r="M179" i="1" s="1"/>
  <c r="N179" i="1" s="1"/>
  <c r="O179" i="1" s="1"/>
  <c r="P179" i="1" s="1"/>
  <c r="Q179" i="1" s="1"/>
  <c r="J85" i="18"/>
  <c r="O73" i="18"/>
  <c r="K86" i="18"/>
  <c r="K85" i="18"/>
  <c r="K87" i="18"/>
  <c r="M86" i="18"/>
  <c r="O86" i="18"/>
  <c r="Q86" i="18"/>
  <c r="M87" i="18"/>
  <c r="M85" i="18"/>
  <c r="O85" i="18"/>
  <c r="Q85" i="18"/>
  <c r="P87" i="18"/>
  <c r="N74" i="18"/>
  <c r="O76" i="18"/>
  <c r="Q75" i="18"/>
  <c r="N89" i="18"/>
  <c r="P89" i="18"/>
  <c r="N88" i="18"/>
  <c r="O77" i="18"/>
  <c r="O90" i="18"/>
  <c r="Q90" i="18"/>
  <c r="P88" i="18"/>
  <c r="P91" i="18"/>
  <c r="P79" i="18"/>
  <c r="P92" i="18"/>
  <c r="Q93" i="18"/>
  <c r="G248" i="7942"/>
  <c r="G244" i="7942"/>
  <c r="G8" i="7952"/>
  <c r="G12" i="7952"/>
  <c r="G9" i="7952"/>
  <c r="G13" i="7952"/>
  <c r="G10" i="7952"/>
  <c r="G14" i="7952"/>
  <c r="G7" i="7952"/>
  <c r="G11" i="7952"/>
  <c r="G18" i="7952"/>
  <c r="P81" i="7944"/>
  <c r="N81" i="7944"/>
  <c r="O75" i="18"/>
  <c r="I72" i="18"/>
  <c r="P78" i="18"/>
  <c r="M76" i="18"/>
  <c r="Q72" i="18"/>
  <c r="M73" i="18"/>
  <c r="Q78" i="18"/>
  <c r="M75" i="18"/>
  <c r="L75" i="18"/>
  <c r="O72" i="18"/>
  <c r="K73" i="18"/>
  <c r="H183" i="1"/>
  <c r="I183" i="1" s="1"/>
  <c r="Q77" i="18"/>
  <c r="Q76" i="18"/>
  <c r="P74" i="18"/>
  <c r="M72" i="18"/>
  <c r="Q73" i="18"/>
  <c r="K72" i="18"/>
  <c r="F44" i="7947"/>
  <c r="J44" i="7947" s="1"/>
  <c r="F38" i="7947"/>
  <c r="H38" i="7947" s="1"/>
  <c r="F42" i="7947"/>
  <c r="K42" i="7947" s="1"/>
  <c r="F40" i="7947"/>
  <c r="J40" i="7947" s="1"/>
  <c r="G243" i="7942"/>
  <c r="G239" i="7942"/>
  <c r="G85" i="7944"/>
  <c r="H21" i="7944"/>
  <c r="H85" i="7944" s="1"/>
  <c r="G89" i="7944"/>
  <c r="H25" i="7944"/>
  <c r="H89" i="7944" s="1"/>
  <c r="C40" i="7944"/>
  <c r="G84" i="7944"/>
  <c r="H20" i="7944" s="1"/>
  <c r="G88" i="7944"/>
  <c r="H24" i="7944" s="1"/>
  <c r="D78" i="7948"/>
  <c r="F53" i="7947"/>
  <c r="I53" i="7947" s="1"/>
  <c r="F57" i="7947"/>
  <c r="I57" i="7947" s="1"/>
  <c r="F51" i="7947"/>
  <c r="K51" i="7947" s="1"/>
  <c r="F52" i="7947"/>
  <c r="K52" i="7947" s="1"/>
  <c r="F60" i="7947"/>
  <c r="H60" i="7947" s="1"/>
  <c r="F54" i="7947"/>
  <c r="L54" i="7947" s="1"/>
  <c r="F58" i="7947"/>
  <c r="L58" i="7947" s="1"/>
  <c r="F55" i="7947"/>
  <c r="L55" i="7947" s="1"/>
  <c r="F56" i="7947"/>
  <c r="L56" i="7947" s="1"/>
  <c r="F59" i="7947"/>
  <c r="H59" i="7947" s="1"/>
  <c r="D75" i="7948"/>
  <c r="D79" i="7948"/>
  <c r="D81" i="7948"/>
  <c r="D76" i="7948"/>
  <c r="D80" i="7948"/>
  <c r="F43" i="7947"/>
  <c r="J43" i="7947" s="1"/>
  <c r="H17" i="7944"/>
  <c r="I17" i="7944" s="1"/>
  <c r="J17" i="7944" s="1"/>
  <c r="K17" i="7944" s="1"/>
  <c r="L17" i="7944" s="1"/>
  <c r="M17" i="7944" s="1"/>
  <c r="N17" i="7944" s="1"/>
  <c r="O17" i="7944" s="1"/>
  <c r="P17" i="7944" s="1"/>
  <c r="Q17" i="7944" s="1"/>
  <c r="R17" i="7944" s="1"/>
  <c r="Q80" i="18"/>
  <c r="Q79" i="18"/>
  <c r="Q91" i="18"/>
  <c r="Q88" i="18"/>
  <c r="P90" i="18"/>
  <c r="P77" i="18"/>
  <c r="Q89" i="18"/>
  <c r="M89" i="18"/>
  <c r="N75" i="18"/>
  <c r="P76" i="18"/>
  <c r="L88" i="18"/>
  <c r="Q74" i="18"/>
  <c r="M74" i="18"/>
  <c r="O87" i="18"/>
  <c r="P85" i="18"/>
  <c r="N87" i="18"/>
  <c r="P86" i="18"/>
  <c r="L86" i="18"/>
  <c r="N72" i="18"/>
  <c r="K74" i="18"/>
  <c r="J86" i="18"/>
  <c r="N73" i="18"/>
  <c r="J73" i="18"/>
  <c r="I85" i="18"/>
  <c r="G9" i="7944"/>
  <c r="G73" i="7944" s="1"/>
  <c r="F37" i="7947"/>
  <c r="K37" i="7947" s="1"/>
  <c r="F41" i="7947"/>
  <c r="J41" i="7947" s="1"/>
  <c r="F45" i="7947"/>
  <c r="J45" i="7947" s="1"/>
  <c r="I46" i="7947"/>
  <c r="Q92" i="18"/>
  <c r="O78" i="18"/>
  <c r="O91" i="18"/>
  <c r="O88" i="18"/>
  <c r="N90" i="18"/>
  <c r="N77" i="18"/>
  <c r="O89" i="18"/>
  <c r="P75" i="18"/>
  <c r="M88" i="18"/>
  <c r="N76" i="18"/>
  <c r="O74" i="18"/>
  <c r="Q87" i="18"/>
  <c r="L74" i="18"/>
  <c r="N85" i="18"/>
  <c r="L85" i="18"/>
  <c r="N86" i="18"/>
  <c r="P72" i="18"/>
  <c r="L87" i="18"/>
  <c r="L72" i="18"/>
  <c r="P73" i="18"/>
  <c r="L73" i="18"/>
  <c r="J72" i="18"/>
  <c r="F39" i="7947"/>
  <c r="J39" i="7947" s="1"/>
  <c r="I78" i="7947"/>
  <c r="G255" i="7942"/>
  <c r="G253" i="7942"/>
  <c r="G142" i="1"/>
  <c r="G264" i="7942"/>
  <c r="G262" i="7942"/>
  <c r="G261" i="7942"/>
  <c r="G237" i="7942"/>
  <c r="G96" i="7941"/>
  <c r="G224" i="7941" s="1"/>
  <c r="G657" i="18"/>
  <c r="G265" i="7942"/>
  <c r="G258" i="7942"/>
  <c r="G259" i="7942"/>
  <c r="G656" i="18"/>
  <c r="G95" i="7941"/>
  <c r="G263" i="7942"/>
  <c r="G246" i="7942"/>
  <c r="G493" i="7942"/>
  <c r="I180" i="1"/>
  <c r="J180" i="1" s="1"/>
  <c r="K180" i="1" s="1"/>
  <c r="L180" i="1" s="1"/>
  <c r="M180" i="1" s="1"/>
  <c r="N180" i="1" s="1"/>
  <c r="O180" i="1" s="1"/>
  <c r="P180" i="1" s="1"/>
  <c r="Q180" i="1" s="1"/>
  <c r="G4" i="7944"/>
  <c r="E5" i="7947"/>
  <c r="G251" i="7942"/>
  <c r="G241" i="7942"/>
  <c r="T40" i="1"/>
  <c r="G260" i="7942"/>
  <c r="G247" i="7942"/>
  <c r="G654" i="18"/>
  <c r="G93" i="7941"/>
  <c r="G85" i="7941"/>
  <c r="G87" i="7941"/>
  <c r="H454" i="18"/>
  <c r="G136" i="7941"/>
  <c r="H446" i="18"/>
  <c r="G48" i="7941"/>
  <c r="G142" i="7941"/>
  <c r="G92" i="7941"/>
  <c r="G653" i="18"/>
  <c r="K46" i="7947"/>
  <c r="L46" i="7947"/>
  <c r="H46" i="7947"/>
  <c r="G80" i="7944"/>
  <c r="H16" i="7944" s="1"/>
  <c r="G86" i="7944"/>
  <c r="H22" i="7944"/>
  <c r="G76" i="7944"/>
  <c r="H12" i="7944" s="1"/>
  <c r="G87" i="7944"/>
  <c r="H23" i="7944"/>
  <c r="G4" i="7941"/>
  <c r="G74" i="1"/>
  <c r="G108" i="1" s="1"/>
  <c r="G19" i="7941"/>
  <c r="G35" i="7941"/>
  <c r="G661" i="18"/>
  <c r="H463" i="18"/>
  <c r="H142" i="1"/>
  <c r="H4" i="7942"/>
  <c r="H4" i="18"/>
  <c r="G176" i="1"/>
  <c r="G4" i="7942"/>
  <c r="F4" i="7942" s="1"/>
  <c r="F4" i="18" s="1"/>
  <c r="G461" i="7942"/>
  <c r="H176" i="1"/>
  <c r="H4" i="7941"/>
  <c r="G204" i="7942"/>
  <c r="U40" i="1"/>
  <c r="J6" i="7947"/>
  <c r="G22" i="7941"/>
  <c r="G598" i="18"/>
  <c r="G82" i="7944"/>
  <c r="H18" i="7944" s="1"/>
  <c r="G15" i="7941"/>
  <c r="I40" i="1"/>
  <c r="I4" i="7941" s="1"/>
  <c r="H74" i="1"/>
  <c r="H108" i="1" s="1"/>
  <c r="H37" i="7944"/>
  <c r="G7" i="7944"/>
  <c r="H52" i="7947"/>
  <c r="D77" i="7948"/>
  <c r="J38" i="7947"/>
  <c r="L40" i="7947"/>
  <c r="H56" i="7947"/>
  <c r="H40" i="7947"/>
  <c r="L52" i="7947"/>
  <c r="I51" i="7947"/>
  <c r="H43" i="7947"/>
  <c r="K43" i="7947"/>
  <c r="L43" i="7947"/>
  <c r="I45" i="7947"/>
  <c r="H45" i="7947"/>
  <c r="K58" i="7947"/>
  <c r="I41" i="7947"/>
  <c r="H41" i="7947"/>
  <c r="K41" i="7947"/>
  <c r="J54" i="7947"/>
  <c r="H37" i="7947"/>
  <c r="I37" i="7947"/>
  <c r="J55" i="7947"/>
  <c r="L51" i="7947"/>
  <c r="H87" i="7944"/>
  <c r="I23" i="7944"/>
  <c r="H86" i="7944"/>
  <c r="I22" i="7944" s="1"/>
  <c r="J78" i="7947"/>
  <c r="K6" i="7947"/>
  <c r="I74" i="1"/>
  <c r="I108" i="1"/>
  <c r="I176" i="1"/>
  <c r="J40" i="1"/>
  <c r="I4" i="7944"/>
  <c r="I4" i="18"/>
  <c r="I4" i="7942"/>
  <c r="I142" i="1"/>
  <c r="J36" i="7947"/>
  <c r="G167" i="7941"/>
  <c r="L6" i="7947"/>
  <c r="K78" i="7947"/>
  <c r="K64" i="7947"/>
  <c r="K36" i="7947"/>
  <c r="I87" i="7944"/>
  <c r="J23" i="7944"/>
  <c r="W40" i="1"/>
  <c r="J176" i="1"/>
  <c r="J4" i="18"/>
  <c r="J74" i="1"/>
  <c r="J108" i="1"/>
  <c r="J4" i="7944"/>
  <c r="K40" i="1"/>
  <c r="J4" i="7942"/>
  <c r="J4" i="7941"/>
  <c r="J142" i="1"/>
  <c r="J87" i="7944"/>
  <c r="K23" i="7944" s="1"/>
  <c r="K74" i="1"/>
  <c r="K108" i="1"/>
  <c r="K4" i="7944"/>
  <c r="L40" i="1"/>
  <c r="K4" i="18"/>
  <c r="K176" i="1"/>
  <c r="K4" i="7942"/>
  <c r="X40" i="1"/>
  <c r="K142" i="1"/>
  <c r="K4" i="7941"/>
  <c r="L78" i="7947"/>
  <c r="L36" i="7947"/>
  <c r="L64" i="7947"/>
  <c r="M40" i="1"/>
  <c r="N40" i="1" s="1"/>
  <c r="L74" i="1"/>
  <c r="L108" i="1" s="1"/>
  <c r="L4" i="7942"/>
  <c r="Y40" i="1"/>
  <c r="L4" i="7941"/>
  <c r="L142" i="1"/>
  <c r="L4" i="18"/>
  <c r="L4" i="7944"/>
  <c r="L176" i="1"/>
  <c r="M142" i="1"/>
  <c r="M176" i="1"/>
  <c r="M4" i="18"/>
  <c r="M74" i="1"/>
  <c r="M108" i="1" s="1"/>
  <c r="K6" i="18"/>
  <c r="H49" i="1"/>
  <c r="G6" i="18"/>
  <c r="L6" i="18"/>
  <c r="I6" i="18"/>
  <c r="G51" i="7942"/>
  <c r="G83" i="7942" s="1"/>
  <c r="G70" i="7942"/>
  <c r="G102" i="7942" s="1"/>
  <c r="G66" i="7942"/>
  <c r="G98" i="7942" s="1"/>
  <c r="G62" i="7942"/>
  <c r="G94" i="7942" s="1"/>
  <c r="G52" i="7942"/>
  <c r="G84" i="7942" s="1"/>
  <c r="G68" i="7942"/>
  <c r="G100" i="7942" s="1"/>
  <c r="G60" i="7942"/>
  <c r="G92" i="7942" s="1"/>
  <c r="G54" i="7942"/>
  <c r="G86" i="7942" s="1"/>
  <c r="G67" i="7942"/>
  <c r="G99" i="7942" s="1"/>
  <c r="G59" i="7942"/>
  <c r="G91" i="7942" s="1"/>
  <c r="G65" i="7942"/>
  <c r="G97" i="7942" s="1"/>
  <c r="G55" i="7942"/>
  <c r="G87" i="7942" s="1"/>
  <c r="G53" i="7942"/>
  <c r="G85" i="7942" s="1"/>
  <c r="G71" i="7942"/>
  <c r="G103" i="7942" s="1"/>
  <c r="G63" i="7942"/>
  <c r="G95" i="7942" s="1"/>
  <c r="G73" i="7942"/>
  <c r="G105" i="7942" s="1"/>
  <c r="G72" i="7942"/>
  <c r="G104" i="7942" s="1"/>
  <c r="G57" i="7942"/>
  <c r="G89" i="7942" s="1"/>
  <c r="G58" i="7942"/>
  <c r="G90" i="7942" s="1"/>
  <c r="G56" i="7942"/>
  <c r="G88" i="7942" s="1"/>
  <c r="G61" i="7942"/>
  <c r="G93" i="7942" s="1"/>
  <c r="G69" i="7942"/>
  <c r="G101" i="7942" s="1"/>
  <c r="G64" i="7942"/>
  <c r="G96" i="7942" s="1"/>
  <c r="G403" i="7942"/>
  <c r="G507" i="18" s="1"/>
  <c r="G76" i="7941" s="1"/>
  <c r="G402" i="7942"/>
  <c r="G506" i="18"/>
  <c r="G75" i="7941" s="1"/>
  <c r="G404" i="7942"/>
  <c r="G508" i="18" s="1"/>
  <c r="G400" i="7942"/>
  <c r="G504" i="18"/>
  <c r="G73" i="7941" s="1"/>
  <c r="G399" i="7942"/>
  <c r="G503" i="18" s="1"/>
  <c r="G72" i="7941" s="1"/>
  <c r="G401" i="7942"/>
  <c r="G505" i="18"/>
  <c r="G74" i="7941" s="1"/>
  <c r="H6" i="18"/>
  <c r="H674" i="18" s="1"/>
  <c r="H184" i="1"/>
  <c r="H7" i="7942" s="1"/>
  <c r="J6" i="18"/>
  <c r="G371" i="7942"/>
  <c r="G475" i="18" s="1"/>
  <c r="G17" i="7942"/>
  <c r="G439" i="18"/>
  <c r="G335" i="7942"/>
  <c r="G337" i="7942"/>
  <c r="G441" i="18"/>
  <c r="G370" i="7942"/>
  <c r="G474" i="18" s="1"/>
  <c r="G16" i="7942"/>
  <c r="G398" i="7942"/>
  <c r="N37" i="1"/>
  <c r="G367" i="7942"/>
  <c r="G471" i="18" s="1"/>
  <c r="G13" i="7942"/>
  <c r="G444" i="18"/>
  <c r="G340" i="7942"/>
  <c r="H161" i="1"/>
  <c r="H30" i="18" s="1"/>
  <c r="H169" i="1"/>
  <c r="H38" i="18" s="1"/>
  <c r="H168" i="1"/>
  <c r="H37" i="18" s="1"/>
  <c r="H158" i="1"/>
  <c r="H27" i="18" s="1"/>
  <c r="H152" i="1"/>
  <c r="H21" i="18" s="1"/>
  <c r="H165" i="1"/>
  <c r="H34" i="18" s="1"/>
  <c r="H162" i="1"/>
  <c r="H31" i="18"/>
  <c r="H489" i="18" s="1"/>
  <c r="H58" i="7941" s="1"/>
  <c r="H7" i="18"/>
  <c r="H153" i="1"/>
  <c r="H22" i="18" s="1"/>
  <c r="H171" i="1"/>
  <c r="H40" i="18" s="1"/>
  <c r="H172" i="1"/>
  <c r="H41" i="18" s="1"/>
  <c r="H167" i="1"/>
  <c r="H36" i="18" s="1"/>
  <c r="H159" i="1"/>
  <c r="H28" i="18" s="1"/>
  <c r="H170" i="1"/>
  <c r="H39" i="18" s="1"/>
  <c r="H155" i="1"/>
  <c r="H24" i="18"/>
  <c r="E177" i="7947" s="1"/>
  <c r="H166" i="1"/>
  <c r="H35" i="18" s="1"/>
  <c r="H154" i="1"/>
  <c r="H23" i="18" s="1"/>
  <c r="H160" i="1"/>
  <c r="H29" i="18" s="1"/>
  <c r="H156" i="1"/>
  <c r="H25" i="18" s="1"/>
  <c r="H157" i="1"/>
  <c r="H26" i="18" s="1"/>
  <c r="H164" i="1"/>
  <c r="H33" i="18" s="1"/>
  <c r="H163" i="1"/>
  <c r="H32" i="18" s="1"/>
  <c r="G369" i="7942"/>
  <c r="G473" i="18"/>
  <c r="G42" i="7941" s="1"/>
  <c r="G15" i="7942"/>
  <c r="G438" i="18"/>
  <c r="G334" i="7942"/>
  <c r="J37" i="1"/>
  <c r="G368" i="7942"/>
  <c r="G472" i="18" s="1"/>
  <c r="G14" i="7942"/>
  <c r="G338" i="7942"/>
  <c r="G442" i="18"/>
  <c r="G443" i="18"/>
  <c r="G339" i="7942"/>
  <c r="H339" i="7942"/>
  <c r="H109" i="18" s="1"/>
  <c r="G12" i="7942"/>
  <c r="M37" i="1"/>
  <c r="G366" i="7942"/>
  <c r="G18" i="7942"/>
  <c r="G372" i="7942"/>
  <c r="G476" i="18"/>
  <c r="G45" i="7941" s="1"/>
  <c r="G336" i="7942"/>
  <c r="H336" i="7942" s="1"/>
  <c r="G440" i="18"/>
  <c r="G674" i="18"/>
  <c r="G640" i="18" s="1"/>
  <c r="G692" i="18"/>
  <c r="G675" i="18"/>
  <c r="G641" i="18" s="1"/>
  <c r="G679" i="18"/>
  <c r="G645" i="18" s="1"/>
  <c r="G693" i="18"/>
  <c r="G678" i="18"/>
  <c r="G644" i="18" s="1"/>
  <c r="G687" i="18"/>
  <c r="G682" i="18"/>
  <c r="G648" i="18" s="1"/>
  <c r="G695" i="18"/>
  <c r="G685" i="18"/>
  <c r="G690" i="18"/>
  <c r="G676" i="18"/>
  <c r="G642" i="18" s="1"/>
  <c r="G680" i="18"/>
  <c r="G646" i="18" s="1"/>
  <c r="G688" i="18"/>
  <c r="G673" i="18"/>
  <c r="G639" i="18" s="1"/>
  <c r="G686" i="18"/>
  <c r="G684" i="18"/>
  <c r="G694" i="18"/>
  <c r="G691" i="18"/>
  <c r="G683" i="18"/>
  <c r="G681" i="18"/>
  <c r="G647" i="18" s="1"/>
  <c r="G677" i="18"/>
  <c r="G689" i="18"/>
  <c r="H338" i="7942"/>
  <c r="H96" i="18" s="1"/>
  <c r="H108" i="18" s="1"/>
  <c r="H636" i="18" s="1"/>
  <c r="G11" i="7942"/>
  <c r="H482" i="18"/>
  <c r="H51" i="7941" s="1"/>
  <c r="H649" i="18"/>
  <c r="H644" i="18"/>
  <c r="H656" i="18"/>
  <c r="H651" i="18"/>
  <c r="H643" i="18"/>
  <c r="H647" i="18"/>
  <c r="H661" i="18"/>
  <c r="H658" i="18"/>
  <c r="H641" i="18"/>
  <c r="H648" i="18"/>
  <c r="H659" i="18"/>
  <c r="H655" i="18"/>
  <c r="H654" i="18"/>
  <c r="H650" i="18"/>
  <c r="H657" i="18"/>
  <c r="H660" i="18"/>
  <c r="G13" i="7941"/>
  <c r="G672" i="18"/>
  <c r="H335" i="7942"/>
  <c r="H57" i="18" s="1"/>
  <c r="H334" i="7942"/>
  <c r="G333" i="7942"/>
  <c r="E275" i="7947"/>
  <c r="G667" i="18"/>
  <c r="G8" i="7941"/>
  <c r="G9" i="7941"/>
  <c r="G668" i="18"/>
  <c r="G634" i="18" s="1"/>
  <c r="G470" i="18"/>
  <c r="H438" i="18" s="1"/>
  <c r="G365" i="7942"/>
  <c r="G12" i="7941"/>
  <c r="G671" i="18"/>
  <c r="G7" i="7941"/>
  <c r="G666" i="18"/>
  <c r="G632" i="18" s="1"/>
  <c r="G437" i="18"/>
  <c r="G669" i="18"/>
  <c r="G635" i="18" s="1"/>
  <c r="G10" i="7941"/>
  <c r="H441" i="18"/>
  <c r="G670" i="18"/>
  <c r="G636" i="18" s="1"/>
  <c r="G11" i="7941"/>
  <c r="H340" i="7942"/>
  <c r="G502" i="18"/>
  <c r="G501" i="18" s="1"/>
  <c r="G397" i="7942"/>
  <c r="H337" i="7942"/>
  <c r="H83" i="18" s="1"/>
  <c r="H95" i="18" s="1"/>
  <c r="H635" i="18" s="1"/>
  <c r="H122" i="18"/>
  <c r="H44" i="18"/>
  <c r="H56" i="18" s="1"/>
  <c r="H632" i="18" s="1"/>
  <c r="H669" i="18"/>
  <c r="J92" i="7947"/>
  <c r="K92" i="7947"/>
  <c r="L92" i="7947"/>
  <c r="M59" i="7948"/>
  <c r="D64" i="7948" s="1"/>
  <c r="F75" i="7948" s="1"/>
  <c r="H7" i="7948" s="1"/>
  <c r="M58" i="7948"/>
  <c r="M57" i="7948"/>
  <c r="M56" i="7948"/>
  <c r="M55" i="7948"/>
  <c r="M54" i="7948"/>
  <c r="D63" i="7948" s="1"/>
  <c r="F76" i="7948" s="1"/>
  <c r="H8" i="7948" s="1"/>
  <c r="O8" i="7952" s="1"/>
  <c r="X70" i="1"/>
  <c r="K69" i="7944" s="1"/>
  <c r="W70" i="1"/>
  <c r="J69" i="7944" s="1"/>
  <c r="H151" i="1"/>
  <c r="U70" i="1"/>
  <c r="H69" i="7944" s="1"/>
  <c r="Y70" i="1"/>
  <c r="L69" i="7944" s="1"/>
  <c r="L39" i="7944" s="1"/>
  <c r="V70" i="1"/>
  <c r="I69" i="7944" s="1"/>
  <c r="I39" i="7944" s="1"/>
  <c r="I151" i="1"/>
  <c r="I150" i="1"/>
  <c r="H150" i="1"/>
  <c r="K67" i="7944"/>
  <c r="J67" i="7944"/>
  <c r="I67" i="7944"/>
  <c r="H67" i="7944"/>
  <c r="G67" i="7944"/>
  <c r="G99" i="7944" s="1"/>
  <c r="K66" i="7944"/>
  <c r="J66" i="7944"/>
  <c r="I66" i="7944"/>
  <c r="H66" i="7944"/>
  <c r="G66" i="7944"/>
  <c r="H34" i="7944" s="1"/>
  <c r="G98" i="7944"/>
  <c r="K65" i="7944"/>
  <c r="J65" i="7944"/>
  <c r="I65" i="7944"/>
  <c r="H65" i="7944"/>
  <c r="G65" i="7944"/>
  <c r="G97" i="7944" s="1"/>
  <c r="H33" i="7944" s="1"/>
  <c r="K64" i="7944"/>
  <c r="J64" i="7944"/>
  <c r="I64" i="7944"/>
  <c r="H64" i="7944"/>
  <c r="G64" i="7944"/>
  <c r="G96" i="7944"/>
  <c r="H32" i="7944" s="1"/>
  <c r="K63" i="7944"/>
  <c r="J63" i="7944"/>
  <c r="I63" i="7944"/>
  <c r="H63" i="7944"/>
  <c r="G63" i="7944"/>
  <c r="K62" i="7944"/>
  <c r="J62" i="7944"/>
  <c r="I62" i="7944"/>
  <c r="H62" i="7944"/>
  <c r="G62" i="7944"/>
  <c r="G94" i="7944"/>
  <c r="H30" i="7944" s="1"/>
  <c r="K61" i="7944"/>
  <c r="K93" i="7944" s="1"/>
  <c r="J61" i="7944"/>
  <c r="J93" i="7944" s="1"/>
  <c r="I61" i="7944"/>
  <c r="I93" i="7944" s="1"/>
  <c r="H61" i="7944"/>
  <c r="H93" i="7944" s="1"/>
  <c r="G61" i="7944"/>
  <c r="I146" i="1"/>
  <c r="H146" i="1"/>
  <c r="G146" i="1"/>
  <c r="G47" i="7942"/>
  <c r="G79" i="7942" s="1"/>
  <c r="H114" i="7942" s="1"/>
  <c r="I145" i="1"/>
  <c r="H145" i="1"/>
  <c r="G145" i="1"/>
  <c r="G46" i="7942" s="1"/>
  <c r="G78" i="7942" s="1"/>
  <c r="H112" i="7942" s="1"/>
  <c r="H149" i="1"/>
  <c r="G149" i="1"/>
  <c r="G50" i="7942" s="1"/>
  <c r="G82" i="7942" s="1"/>
  <c r="I148" i="1"/>
  <c r="H148" i="1"/>
  <c r="G148" i="1"/>
  <c r="G49" i="7942"/>
  <c r="G81" i="7942" s="1"/>
  <c r="H118" i="7942" s="1"/>
  <c r="H147" i="1"/>
  <c r="G147" i="1"/>
  <c r="G48" i="7942"/>
  <c r="G80" i="7942" s="1"/>
  <c r="H116" i="7942" s="1"/>
  <c r="I144" i="1"/>
  <c r="J105" i="1"/>
  <c r="I105" i="1"/>
  <c r="I147" i="1"/>
  <c r="G105" i="1"/>
  <c r="K105" i="1"/>
  <c r="I149" i="1"/>
  <c r="H105" i="1"/>
  <c r="L105" i="1"/>
  <c r="H17" i="18"/>
  <c r="H18" i="18"/>
  <c r="H476" i="18" s="1"/>
  <c r="H45" i="7941" s="1"/>
  <c r="J139" i="1"/>
  <c r="G60" i="7944"/>
  <c r="T71" i="1"/>
  <c r="K60" i="7944"/>
  <c r="K39" i="7944" s="1"/>
  <c r="X71" i="1"/>
  <c r="H60" i="7944"/>
  <c r="U71" i="1"/>
  <c r="G93" i="7944"/>
  <c r="H29" i="7944"/>
  <c r="I29" i="7944" s="1"/>
  <c r="J29" i="7944" s="1"/>
  <c r="K29" i="7944" s="1"/>
  <c r="L29" i="7944" s="1"/>
  <c r="M29" i="7944" s="1"/>
  <c r="N29" i="7944" s="1"/>
  <c r="O29" i="7944" s="1"/>
  <c r="P29" i="7944" s="1"/>
  <c r="Q29" i="7944" s="1"/>
  <c r="R29" i="7944" s="1"/>
  <c r="V71" i="1"/>
  <c r="I60" i="7944"/>
  <c r="I139" i="1"/>
  <c r="W71" i="1"/>
  <c r="J60" i="7944"/>
  <c r="J39" i="7944" s="1"/>
  <c r="G95" i="7944"/>
  <c r="H31" i="7944" s="1"/>
  <c r="R106" i="1"/>
  <c r="H144" i="1"/>
  <c r="H71" i="1"/>
  <c r="H139" i="1"/>
  <c r="G144" i="1"/>
  <c r="G45" i="7942"/>
  <c r="G77" i="7942" s="1"/>
  <c r="G39" i="7944"/>
  <c r="G92" i="7944"/>
  <c r="H475" i="18"/>
  <c r="H44" i="7941" s="1"/>
  <c r="G139" i="1"/>
  <c r="K71" i="1"/>
  <c r="K139" i="1"/>
  <c r="J71" i="1"/>
  <c r="I71" i="1"/>
  <c r="I143" i="1"/>
  <c r="G143" i="1"/>
  <c r="G71" i="1"/>
  <c r="G173" i="1"/>
  <c r="G44" i="7942"/>
  <c r="G43" i="7942" s="1"/>
  <c r="H143" i="1"/>
  <c r="H28" i="7944"/>
  <c r="H173" i="1"/>
  <c r="H92" i="7944"/>
  <c r="I28" i="7944" s="1"/>
  <c r="G76" i="7942"/>
  <c r="H108" i="7942" s="1"/>
  <c r="L64" i="7944"/>
  <c r="L65" i="7944"/>
  <c r="L67" i="7944"/>
  <c r="L63" i="7944"/>
  <c r="L62" i="7944"/>
  <c r="L61" i="7944"/>
  <c r="L93" i="7944" s="1"/>
  <c r="L60" i="7944"/>
  <c r="L66" i="7944"/>
  <c r="L71" i="1"/>
  <c r="R72" i="1"/>
  <c r="Y71" i="1"/>
  <c r="L139" i="1"/>
  <c r="R140" i="1" s="1"/>
  <c r="H96" i="7944" l="1"/>
  <c r="I32" i="7944"/>
  <c r="H94" i="7944"/>
  <c r="I30" i="7944"/>
  <c r="H95" i="7944"/>
  <c r="I31" i="7944" s="1"/>
  <c r="H97" i="7944"/>
  <c r="I33" i="7944"/>
  <c r="H666" i="18"/>
  <c r="G77" i="7941"/>
  <c r="H444" i="18"/>
  <c r="N142" i="1"/>
  <c r="N4" i="7942"/>
  <c r="N4" i="18"/>
  <c r="N74" i="1"/>
  <c r="N108" i="1" s="1"/>
  <c r="N4" i="7941"/>
  <c r="O40" i="1"/>
  <c r="N4" i="7944"/>
  <c r="N176" i="1"/>
  <c r="J183" i="1"/>
  <c r="I184" i="1"/>
  <c r="H83" i="7944"/>
  <c r="I19" i="7944"/>
  <c r="G236" i="7942"/>
  <c r="G652" i="18"/>
  <c r="G91" i="7941"/>
  <c r="H458" i="18"/>
  <c r="H451" i="18"/>
  <c r="G52" i="7941"/>
  <c r="H20" i="7941" s="1"/>
  <c r="G597" i="18"/>
  <c r="G169" i="7941"/>
  <c r="I92" i="7944"/>
  <c r="J28" i="7944" s="1"/>
  <c r="H120" i="7942"/>
  <c r="E191" i="7947"/>
  <c r="H483" i="18"/>
  <c r="H52" i="7941" s="1"/>
  <c r="H439" i="18"/>
  <c r="G40" i="7941"/>
  <c r="H8" i="7941" s="1"/>
  <c r="G469" i="18"/>
  <c r="H442" i="18"/>
  <c r="G43" i="7941"/>
  <c r="H11" i="7941" s="1"/>
  <c r="I18" i="7944"/>
  <c r="H82" i="7944"/>
  <c r="H88" i="7944"/>
  <c r="I24" i="7944" s="1"/>
  <c r="G53" i="7941"/>
  <c r="H452" i="18"/>
  <c r="G176" i="7941"/>
  <c r="G208" i="7941" s="1"/>
  <c r="H447" i="18"/>
  <c r="H445" i="18"/>
  <c r="G174" i="7941"/>
  <c r="G137" i="7941"/>
  <c r="G565" i="18"/>
  <c r="I187" i="18"/>
  <c r="I199" i="18" s="1"/>
  <c r="I421" i="18"/>
  <c r="I330" i="18"/>
  <c r="I342" i="18" s="1"/>
  <c r="I408" i="18"/>
  <c r="I420" i="18" s="1"/>
  <c r="I70" i="18"/>
  <c r="I82" i="18" s="1"/>
  <c r="I83" i="18"/>
  <c r="I95" i="18" s="1"/>
  <c r="I265" i="18"/>
  <c r="I277" i="18" s="1"/>
  <c r="I174" i="18"/>
  <c r="I186" i="18" s="1"/>
  <c r="I161" i="18"/>
  <c r="I173" i="18" s="1"/>
  <c r="I200" i="18"/>
  <c r="I212" i="18" s="1"/>
  <c r="I291" i="18"/>
  <c r="I303" i="18" s="1"/>
  <c r="I395" i="18"/>
  <c r="I407" i="18" s="1"/>
  <c r="I252" i="18"/>
  <c r="I264" i="18" s="1"/>
  <c r="J3" i="18"/>
  <c r="I150" i="18"/>
  <c r="I160" i="18" s="1"/>
  <c r="I111" i="18"/>
  <c r="I121" i="18" s="1"/>
  <c r="I317" i="18"/>
  <c r="I329" i="18" s="1"/>
  <c r="I148" i="18"/>
  <c r="I135" i="18"/>
  <c r="I304" i="18"/>
  <c r="I213" i="18"/>
  <c r="I225" i="18" s="1"/>
  <c r="I109" i="18"/>
  <c r="I96" i="18"/>
  <c r="I122" i="18"/>
  <c r="I98" i="18"/>
  <c r="I108" i="18" s="1"/>
  <c r="I369" i="18"/>
  <c r="I381" i="18" s="1"/>
  <c r="I226" i="18"/>
  <c r="I238" i="18" s="1"/>
  <c r="I382" i="18"/>
  <c r="I394" i="18" s="1"/>
  <c r="I239" i="18"/>
  <c r="I251" i="18" s="1"/>
  <c r="I343" i="18"/>
  <c r="I355" i="18" s="1"/>
  <c r="I278" i="18"/>
  <c r="I290" i="18" s="1"/>
  <c r="I356" i="18"/>
  <c r="I368" i="18" s="1"/>
  <c r="I57" i="18"/>
  <c r="I44" i="18"/>
  <c r="I59" i="18"/>
  <c r="H13" i="7948"/>
  <c r="O13" i="7952" s="1"/>
  <c r="O7" i="7952"/>
  <c r="H70" i="18"/>
  <c r="H333" i="7942"/>
  <c r="H499" i="18"/>
  <c r="H68" i="7941" s="1"/>
  <c r="E415" i="7947"/>
  <c r="K87" i="7944"/>
  <c r="L23" i="7944"/>
  <c r="I16" i="7944"/>
  <c r="H80" i="7944"/>
  <c r="G71" i="7944"/>
  <c r="I20" i="7944"/>
  <c r="H84" i="7944"/>
  <c r="H75" i="7944"/>
  <c r="I11" i="7944" s="1"/>
  <c r="G99" i="7941"/>
  <c r="G660" i="18"/>
  <c r="H462" i="18"/>
  <c r="G63" i="7941"/>
  <c r="H460" i="18"/>
  <c r="G125" i="7941"/>
  <c r="H29" i="7941" s="1"/>
  <c r="H457" i="18"/>
  <c r="G90" i="7941"/>
  <c r="H26" i="7941" s="1"/>
  <c r="H456" i="18"/>
  <c r="H684" i="18" s="1"/>
  <c r="G57" i="7941"/>
  <c r="G88" i="7941"/>
  <c r="H455" i="18"/>
  <c r="H683" i="18" s="1"/>
  <c r="H453" i="18"/>
  <c r="G118" i="7941"/>
  <c r="G214" i="7941" s="1"/>
  <c r="G533" i="18"/>
  <c r="G103" i="7941"/>
  <c r="G102" i="7941" s="1"/>
  <c r="G75" i="7942"/>
  <c r="H110" i="7942"/>
  <c r="H98" i="7944"/>
  <c r="I34" i="7944" s="1"/>
  <c r="G205" i="7941"/>
  <c r="G41" i="7941"/>
  <c r="H9" i="7941" s="1"/>
  <c r="H440" i="18"/>
  <c r="E359" i="7947"/>
  <c r="H495" i="18"/>
  <c r="H64" i="7941" s="1"/>
  <c r="H443" i="18"/>
  <c r="G44" i="7941"/>
  <c r="H12" i="7941" s="1"/>
  <c r="G166" i="7941"/>
  <c r="I86" i="7944"/>
  <c r="J22" i="7944"/>
  <c r="H76" i="7944"/>
  <c r="I12" i="7944" s="1"/>
  <c r="H77" i="7944"/>
  <c r="I13" i="7944"/>
  <c r="H467" i="18"/>
  <c r="G68" i="7941"/>
  <c r="G67" i="7941"/>
  <c r="H466" i="18"/>
  <c r="G659" i="18"/>
  <c r="G98" i="7941"/>
  <c r="H34" i="7941" s="1"/>
  <c r="H465" i="18"/>
  <c r="G658" i="18"/>
  <c r="H464" i="18"/>
  <c r="G97" i="7941"/>
  <c r="G94" i="7941"/>
  <c r="G222" i="7941" s="1"/>
  <c r="G655" i="18"/>
  <c r="H461" i="18"/>
  <c r="H689" i="18" s="1"/>
  <c r="H459" i="18"/>
  <c r="G60" i="7941"/>
  <c r="G51" i="7941"/>
  <c r="H450" i="18"/>
  <c r="H678" i="18" s="1"/>
  <c r="H449" i="18"/>
  <c r="H677" i="18" s="1"/>
  <c r="G50" i="7941"/>
  <c r="G49" i="7941"/>
  <c r="H448" i="18"/>
  <c r="H676" i="18" s="1"/>
  <c r="H35" i="7944"/>
  <c r="G203" i="7941"/>
  <c r="G204" i="7941"/>
  <c r="G633" i="18"/>
  <c r="M4" i="7944"/>
  <c r="M4" i="7942"/>
  <c r="H15" i="7941"/>
  <c r="I25" i="7944"/>
  <c r="I21" i="7944"/>
  <c r="H10" i="7944"/>
  <c r="I13" i="18"/>
  <c r="J138" i="18"/>
  <c r="H20" i="18"/>
  <c r="H478" i="18" s="1"/>
  <c r="H47" i="7941" s="1"/>
  <c r="G39" i="7941"/>
  <c r="G71" i="7941"/>
  <c r="G70" i="7941" s="1"/>
  <c r="G643" i="18"/>
  <c r="G651" i="18"/>
  <c r="M4" i="7941"/>
  <c r="V40" i="1"/>
  <c r="H22" i="7941"/>
  <c r="H9" i="7944"/>
  <c r="G220" i="7941"/>
  <c r="H21" i="7941"/>
  <c r="H30" i="7941"/>
  <c r="G637" i="18"/>
  <c r="G200" i="7941"/>
  <c r="G650" i="18"/>
  <c r="H35" i="7941"/>
  <c r="G638" i="18"/>
  <c r="G649" i="18"/>
  <c r="G215" i="7941"/>
  <c r="G212" i="7941"/>
  <c r="G221" i="7941"/>
  <c r="G218" i="7941"/>
  <c r="H18" i="7941"/>
  <c r="J151" i="18"/>
  <c r="H486" i="18"/>
  <c r="H55" i="7941" s="1"/>
  <c r="E233" i="7947"/>
  <c r="H480" i="18"/>
  <c r="H49" i="7941" s="1"/>
  <c r="E149" i="7947"/>
  <c r="H491" i="18"/>
  <c r="E303" i="7947"/>
  <c r="E135" i="7947"/>
  <c r="H479" i="18"/>
  <c r="H48" i="7941" s="1"/>
  <c r="E163" i="7947"/>
  <c r="H481" i="18"/>
  <c r="H50" i="7941" s="1"/>
  <c r="H488" i="18"/>
  <c r="H57" i="7941" s="1"/>
  <c r="E261" i="7947"/>
  <c r="J59" i="18"/>
  <c r="J112" i="18"/>
  <c r="H16" i="18"/>
  <c r="H474" i="18" s="1"/>
  <c r="H43" i="7941" s="1"/>
  <c r="I15" i="18"/>
  <c r="E52" i="7947" s="1"/>
  <c r="H19" i="18"/>
  <c r="H477" i="18" s="1"/>
  <c r="H46" i="7941" s="1"/>
  <c r="H505" i="18"/>
  <c r="H74" i="7941" s="1"/>
  <c r="I46" i="18"/>
  <c r="I56" i="18" s="1"/>
  <c r="J99" i="18"/>
  <c r="H14" i="18"/>
  <c r="J46" i="18"/>
  <c r="H12" i="18"/>
  <c r="H470" i="18" s="1"/>
  <c r="H39" i="7941" s="1"/>
  <c r="H13" i="18"/>
  <c r="H471" i="18" s="1"/>
  <c r="H40" i="7941" s="1"/>
  <c r="I124" i="18"/>
  <c r="I134" i="18" s="1"/>
  <c r="I18" i="18"/>
  <c r="I14" i="18"/>
  <c r="H15" i="18"/>
  <c r="I19" i="18"/>
  <c r="J60" i="7947"/>
  <c r="K53" i="7947"/>
  <c r="E37" i="7947"/>
  <c r="H472" i="18"/>
  <c r="H41" i="7941" s="1"/>
  <c r="E38" i="7947"/>
  <c r="K101" i="7944"/>
  <c r="J101" i="7944"/>
  <c r="H39" i="7944"/>
  <c r="H101" i="7944"/>
  <c r="L101" i="7944"/>
  <c r="I101" i="7944"/>
  <c r="I12" i="18"/>
  <c r="J47" i="18"/>
  <c r="J98" i="18"/>
  <c r="I137" i="18"/>
  <c r="I147" i="18" s="1"/>
  <c r="J137" i="18"/>
  <c r="E289" i="7947"/>
  <c r="H490" i="18"/>
  <c r="H59" i="7941" s="1"/>
  <c r="E387" i="7947"/>
  <c r="H497" i="18"/>
  <c r="H66" i="7941" s="1"/>
  <c r="H492" i="18"/>
  <c r="H61" i="7941" s="1"/>
  <c r="E317" i="7947"/>
  <c r="H493" i="18"/>
  <c r="H62" i="7941" s="1"/>
  <c r="E331" i="7947"/>
  <c r="H299" i="7942"/>
  <c r="H313" i="7942"/>
  <c r="H283" i="7942"/>
  <c r="H281" i="7942"/>
  <c r="H273" i="7942"/>
  <c r="H315" i="7942"/>
  <c r="H291" i="7942"/>
  <c r="H128" i="7942"/>
  <c r="H164" i="7942"/>
  <c r="H144" i="7942"/>
  <c r="H138" i="7942"/>
  <c r="H277" i="7942"/>
  <c r="H271" i="7942"/>
  <c r="H275" i="7942"/>
  <c r="H327" i="7942"/>
  <c r="H321" i="7942"/>
  <c r="H301" i="7942"/>
  <c r="H323" i="7942"/>
  <c r="H134" i="7942"/>
  <c r="H124" i="7942"/>
  <c r="H136" i="7942"/>
  <c r="H158" i="7942"/>
  <c r="H154" i="7942"/>
  <c r="H269" i="7942"/>
  <c r="H319" i="7942"/>
  <c r="H297" i="7942"/>
  <c r="H307" i="7942"/>
  <c r="H293" i="7942"/>
  <c r="H303" i="7942"/>
  <c r="H285" i="7942"/>
  <c r="H295" i="7942"/>
  <c r="H148" i="7942"/>
  <c r="H146" i="7942"/>
  <c r="H160" i="7942"/>
  <c r="H150" i="7942"/>
  <c r="H122" i="7942"/>
  <c r="H162" i="7942"/>
  <c r="H156" i="7942"/>
  <c r="H166" i="7942"/>
  <c r="H305" i="7942"/>
  <c r="H287" i="7942"/>
  <c r="H289" i="7942"/>
  <c r="H279" i="7942"/>
  <c r="H317" i="7942"/>
  <c r="H309" i="7942"/>
  <c r="H325" i="7942"/>
  <c r="H311" i="7942"/>
  <c r="H142" i="7942"/>
  <c r="H130" i="7942"/>
  <c r="H132" i="7942"/>
  <c r="H140" i="7942"/>
  <c r="H126" i="7942"/>
  <c r="H152" i="7942"/>
  <c r="H487" i="18"/>
  <c r="H56" i="7941" s="1"/>
  <c r="E247" i="7947"/>
  <c r="H498" i="18"/>
  <c r="E401" i="7947"/>
  <c r="E373" i="7947"/>
  <c r="H496" i="18"/>
  <c r="H65" i="7941" s="1"/>
  <c r="E205" i="7947"/>
  <c r="H484" i="18"/>
  <c r="H53" i="7941" s="1"/>
  <c r="H494" i="18"/>
  <c r="H63" i="7941" s="1"/>
  <c r="E345" i="7947"/>
  <c r="H485" i="18"/>
  <c r="H54" i="7941" s="1"/>
  <c r="E219" i="7947"/>
  <c r="I157" i="1"/>
  <c r="I26" i="18" s="1"/>
  <c r="I166" i="1"/>
  <c r="I35" i="18" s="1"/>
  <c r="I159" i="1"/>
  <c r="I28" i="18" s="1"/>
  <c r="I170" i="1"/>
  <c r="I39" i="18" s="1"/>
  <c r="I152" i="1"/>
  <c r="I21" i="18" s="1"/>
  <c r="I154" i="1"/>
  <c r="I23" i="18" s="1"/>
  <c r="I162" i="1"/>
  <c r="I31" i="18" s="1"/>
  <c r="I169" i="1"/>
  <c r="I38" i="18" s="1"/>
  <c r="I168" i="1"/>
  <c r="I37" i="18" s="1"/>
  <c r="I160" i="1"/>
  <c r="I29" i="18" s="1"/>
  <c r="I172" i="1"/>
  <c r="I41" i="18" s="1"/>
  <c r="I155" i="1"/>
  <c r="I24" i="18" s="1"/>
  <c r="I165" i="1"/>
  <c r="I34" i="18" s="1"/>
  <c r="I167" i="1"/>
  <c r="I36" i="18" s="1"/>
  <c r="I171" i="1"/>
  <c r="I40" i="18" s="1"/>
  <c r="I153" i="1"/>
  <c r="I22" i="18" s="1"/>
  <c r="I156" i="1"/>
  <c r="I25" i="18" s="1"/>
  <c r="I7" i="18"/>
  <c r="I472" i="18" s="1"/>
  <c r="I41" i="7941" s="1"/>
  <c r="I164" i="1"/>
  <c r="I33" i="18" s="1"/>
  <c r="I158" i="1"/>
  <c r="I27" i="18" s="1"/>
  <c r="I163" i="1"/>
  <c r="I32" i="18" s="1"/>
  <c r="I161" i="1"/>
  <c r="I30" i="18" s="1"/>
  <c r="H517" i="18"/>
  <c r="H693" i="18"/>
  <c r="H529" i="18" s="1"/>
  <c r="H681" i="18"/>
  <c r="H692" i="18"/>
  <c r="H528" i="18" s="1"/>
  <c r="H97" i="7941" s="1"/>
  <c r="H682" i="18"/>
  <c r="I645" i="18"/>
  <c r="H694" i="18"/>
  <c r="H530" i="18" s="1"/>
  <c r="H99" i="7941" s="1"/>
  <c r="H653" i="18"/>
  <c r="H675" i="18"/>
  <c r="H511" i="18" s="1"/>
  <c r="H673" i="18"/>
  <c r="H687" i="18"/>
  <c r="H685" i="18"/>
  <c r="H521" i="18" s="1"/>
  <c r="I642" i="18"/>
  <c r="H688" i="18"/>
  <c r="H695" i="18"/>
  <c r="H680" i="18"/>
  <c r="H690" i="18"/>
  <c r="H679" i="18"/>
  <c r="I656" i="18"/>
  <c r="H686" i="18"/>
  <c r="H691" i="18"/>
  <c r="H527" i="18" s="1"/>
  <c r="H652" i="18"/>
  <c r="J58" i="7947"/>
  <c r="K39" i="7947"/>
  <c r="L42" i="7947"/>
  <c r="H55" i="7947"/>
  <c r="H54" i="7947"/>
  <c r="L41" i="7947"/>
  <c r="J59" i="7947"/>
  <c r="I43" i="7947"/>
  <c r="K59" i="7947"/>
  <c r="J57" i="7947"/>
  <c r="L38" i="7947"/>
  <c r="G207" i="7941"/>
  <c r="G631" i="18"/>
  <c r="H524" i="18"/>
  <c r="I460" i="18" s="1"/>
  <c r="I464" i="18"/>
  <c r="I692" i="18" s="1"/>
  <c r="H502" i="18"/>
  <c r="I466" i="18"/>
  <c r="I694" i="18" s="1"/>
  <c r="H520" i="18"/>
  <c r="H89" i="7941" s="1"/>
  <c r="H525" i="18"/>
  <c r="H518" i="18"/>
  <c r="H531" i="18"/>
  <c r="H13" i="7941"/>
  <c r="G202" i="7941"/>
  <c r="H28" i="7941"/>
  <c r="G210" i="7941"/>
  <c r="G213" i="7941"/>
  <c r="H67" i="7941"/>
  <c r="I35" i="7941" s="1"/>
  <c r="H69" i="18"/>
  <c r="H633" i="18" s="1"/>
  <c r="H60" i="7941"/>
  <c r="G665" i="18"/>
  <c r="H227" i="7941"/>
  <c r="G38" i="7941"/>
  <c r="G199" i="7941"/>
  <c r="H437" i="18"/>
  <c r="H10" i="7941"/>
  <c r="G6" i="7941"/>
  <c r="G201" i="7941"/>
  <c r="H93" i="7941"/>
  <c r="H86" i="7941"/>
  <c r="H214" i="7941" s="1"/>
  <c r="I453" i="18"/>
  <c r="I681" i="18" s="1"/>
  <c r="I467" i="18"/>
  <c r="I695" i="18" s="1"/>
  <c r="I531" i="18" s="1"/>
  <c r="I100" i="7941" s="1"/>
  <c r="H513" i="18"/>
  <c r="H526" i="18"/>
  <c r="G217" i="7941"/>
  <c r="H25" i="7941"/>
  <c r="I25" i="7941" s="1"/>
  <c r="H24" i="7941"/>
  <c r="G216" i="7941"/>
  <c r="G223" i="7941"/>
  <c r="H31" i="7941"/>
  <c r="I433" i="18"/>
  <c r="I661" i="18" s="1"/>
  <c r="H514" i="18"/>
  <c r="H519" i="18"/>
  <c r="H88" i="7941" s="1"/>
  <c r="H14" i="7941"/>
  <c r="G206" i="7941"/>
  <c r="G134" i="7941"/>
  <c r="I632" i="18"/>
  <c r="H82" i="18"/>
  <c r="H121" i="18"/>
  <c r="H637" i="18" s="1"/>
  <c r="H94" i="7941"/>
  <c r="I461" i="18"/>
  <c r="H134" i="18"/>
  <c r="H638" i="18" s="1"/>
  <c r="H87" i="7941"/>
  <c r="I454" i="18"/>
  <c r="H100" i="7941"/>
  <c r="I455" i="18"/>
  <c r="I316" i="18"/>
  <c r="I652" i="18" s="1"/>
  <c r="H160" i="18"/>
  <c r="H640" i="18" s="1"/>
  <c r="H510" i="18" s="1"/>
  <c r="H225" i="18"/>
  <c r="H645" i="18" s="1"/>
  <c r="H515" i="18" s="1"/>
  <c r="H147" i="18"/>
  <c r="H639" i="18" s="1"/>
  <c r="H509" i="18" s="1"/>
  <c r="H186" i="18"/>
  <c r="H642" i="18" s="1"/>
  <c r="H512" i="18" s="1"/>
  <c r="H238" i="18"/>
  <c r="H646" i="18" s="1"/>
  <c r="H516" i="18" s="1"/>
  <c r="L37" i="7947"/>
  <c r="H58" i="7947"/>
  <c r="I58" i="7947"/>
  <c r="K45" i="7947"/>
  <c r="J53" i="7947"/>
  <c r="L39" i="7947"/>
  <c r="I39" i="7947"/>
  <c r="J56" i="7947"/>
  <c r="L44" i="7947"/>
  <c r="I42" i="7947"/>
  <c r="I56" i="7947"/>
  <c r="I44" i="7947"/>
  <c r="H51" i="7947"/>
  <c r="K55" i="7947"/>
  <c r="J37" i="7947"/>
  <c r="I55" i="7947"/>
  <c r="I54" i="7947"/>
  <c r="K54" i="7947"/>
  <c r="L59" i="7947"/>
  <c r="L53" i="7947"/>
  <c r="L45" i="7947"/>
  <c r="H53" i="7947"/>
  <c r="L57" i="7947"/>
  <c r="H57" i="7947"/>
  <c r="K57" i="7947"/>
  <c r="I59" i="7947"/>
  <c r="H39" i="7947"/>
  <c r="J52" i="7947"/>
  <c r="L60" i="7947"/>
  <c r="I52" i="7947"/>
  <c r="K40" i="7947"/>
  <c r="I40" i="7947"/>
  <c r="K60" i="7947"/>
  <c r="I60" i="7947"/>
  <c r="K44" i="7947"/>
  <c r="H42" i="7947"/>
  <c r="J51" i="7947"/>
  <c r="K56" i="7947"/>
  <c r="I38" i="7947"/>
  <c r="H44" i="7947"/>
  <c r="K38" i="7947"/>
  <c r="J42" i="7947"/>
  <c r="H96" i="7941" l="1"/>
  <c r="I32" i="7941" s="1"/>
  <c r="I463" i="18"/>
  <c r="I691" i="18" s="1"/>
  <c r="I75" i="7944"/>
  <c r="J11" i="7944" s="1"/>
  <c r="J92" i="7944"/>
  <c r="K28" i="7944" s="1"/>
  <c r="I98" i="7944"/>
  <c r="J34" i="7944"/>
  <c r="J24" i="7944"/>
  <c r="I88" i="7944"/>
  <c r="I457" i="18"/>
  <c r="H90" i="7941"/>
  <c r="I76" i="7944"/>
  <c r="J12" i="7944" s="1"/>
  <c r="H98" i="7941"/>
  <c r="H226" i="7941" s="1"/>
  <c r="I465" i="18"/>
  <c r="I95" i="7944"/>
  <c r="J31" i="7944"/>
  <c r="I634" i="18"/>
  <c r="I9" i="7944"/>
  <c r="H7" i="7944"/>
  <c r="H73" i="7944"/>
  <c r="H71" i="7944" s="1"/>
  <c r="H7" i="7941"/>
  <c r="H99" i="7944"/>
  <c r="I35" i="7944" s="1"/>
  <c r="G209" i="7941"/>
  <c r="H17" i="7941"/>
  <c r="G211" i="7941"/>
  <c r="H19" i="7941"/>
  <c r="H668" i="18"/>
  <c r="I84" i="7944"/>
  <c r="J20" i="7944" s="1"/>
  <c r="L87" i="7944"/>
  <c r="M23" i="7944" s="1"/>
  <c r="I82" i="7944"/>
  <c r="J18" i="7944" s="1"/>
  <c r="I7" i="7942"/>
  <c r="I162" i="7942" s="1"/>
  <c r="I16" i="18"/>
  <c r="I17" i="18"/>
  <c r="I20" i="18"/>
  <c r="P40" i="1"/>
  <c r="O74" i="1"/>
  <c r="O108" i="1" s="1"/>
  <c r="O142" i="1"/>
  <c r="O4" i="7941"/>
  <c r="O4" i="7944"/>
  <c r="O4" i="7942"/>
  <c r="O4" i="18"/>
  <c r="O176" i="1"/>
  <c r="I126" i="7942"/>
  <c r="I142" i="7942"/>
  <c r="I122" i="7942"/>
  <c r="I148" i="7942"/>
  <c r="I124" i="7942"/>
  <c r="I128" i="7942"/>
  <c r="H74" i="7944"/>
  <c r="I10" i="7944"/>
  <c r="G226" i="7941"/>
  <c r="J13" i="7944"/>
  <c r="I77" i="7944"/>
  <c r="J86" i="7944"/>
  <c r="K22" i="7944"/>
  <c r="H671" i="18"/>
  <c r="I69" i="18"/>
  <c r="H667" i="18"/>
  <c r="I120" i="7942"/>
  <c r="J184" i="1"/>
  <c r="J7" i="7942" s="1"/>
  <c r="K183" i="1"/>
  <c r="I96" i="7944"/>
  <c r="J32" i="7944"/>
  <c r="I649" i="18"/>
  <c r="I140" i="7942"/>
  <c r="I166" i="7942"/>
  <c r="J166" i="7942" s="1"/>
  <c r="I150" i="7942"/>
  <c r="I134" i="7942"/>
  <c r="I138" i="7942"/>
  <c r="J138" i="7942" s="1"/>
  <c r="I37" i="7944"/>
  <c r="I85" i="7944"/>
  <c r="J21" i="7944"/>
  <c r="H33" i="7941"/>
  <c r="G225" i="7941"/>
  <c r="G227" i="7941"/>
  <c r="I110" i="7942"/>
  <c r="H17" i="7948"/>
  <c r="J278" i="18"/>
  <c r="J290" i="18" s="1"/>
  <c r="J252" i="18"/>
  <c r="J264" i="18" s="1"/>
  <c r="J343" i="18"/>
  <c r="J355" i="18" s="1"/>
  <c r="J135" i="18"/>
  <c r="J147" i="18" s="1"/>
  <c r="J304" i="18"/>
  <c r="J316" i="18" s="1"/>
  <c r="J265" i="18"/>
  <c r="J277" i="18" s="1"/>
  <c r="J226" i="18"/>
  <c r="J238" i="18" s="1"/>
  <c r="J96" i="18"/>
  <c r="J57" i="18"/>
  <c r="J44" i="18"/>
  <c r="J56" i="18" s="1"/>
  <c r="J111" i="18"/>
  <c r="J125" i="18"/>
  <c r="J174" i="18"/>
  <c r="J186" i="18" s="1"/>
  <c r="J317" i="18"/>
  <c r="J329" i="18" s="1"/>
  <c r="K3" i="18"/>
  <c r="J148" i="18"/>
  <c r="J395" i="18"/>
  <c r="J407" i="18" s="1"/>
  <c r="J109" i="18"/>
  <c r="J121" i="18" s="1"/>
  <c r="J122" i="18"/>
  <c r="J83" i="18"/>
  <c r="J95" i="18" s="1"/>
  <c r="J60" i="18"/>
  <c r="J124" i="18"/>
  <c r="J134" i="18" s="1"/>
  <c r="J161" i="18"/>
  <c r="J173" i="18" s="1"/>
  <c r="J291" i="18"/>
  <c r="J303" i="18" s="1"/>
  <c r="J200" i="18"/>
  <c r="J212" i="18" s="1"/>
  <c r="J382" i="18"/>
  <c r="J394" i="18" s="1"/>
  <c r="J421" i="18"/>
  <c r="J433" i="18" s="1"/>
  <c r="J408" i="18"/>
  <c r="J420" i="18" s="1"/>
  <c r="J369" i="18"/>
  <c r="J381" i="18" s="1"/>
  <c r="J356" i="18"/>
  <c r="J368" i="18" s="1"/>
  <c r="J213" i="18"/>
  <c r="J225" i="18" s="1"/>
  <c r="J239" i="18"/>
  <c r="J251" i="18" s="1"/>
  <c r="J187" i="18"/>
  <c r="J199" i="18" s="1"/>
  <c r="J330" i="18"/>
  <c r="J342" i="18" s="1"/>
  <c r="J70" i="18"/>
  <c r="J82" i="18" s="1"/>
  <c r="J150" i="18"/>
  <c r="H670" i="18"/>
  <c r="H506" i="18" s="1"/>
  <c r="H16" i="7941"/>
  <c r="I83" i="7944"/>
  <c r="J19" i="7944" s="1"/>
  <c r="H672" i="18"/>
  <c r="H508" i="18" s="1"/>
  <c r="I97" i="7944"/>
  <c r="J33" i="7944"/>
  <c r="I94" i="7944"/>
  <c r="J30" i="7944" s="1"/>
  <c r="H507" i="18"/>
  <c r="I132" i="7942"/>
  <c r="I156" i="7942"/>
  <c r="I160" i="7942"/>
  <c r="J160" i="7942" s="1"/>
  <c r="I158" i="7942"/>
  <c r="J158" i="7942" s="1"/>
  <c r="I144" i="7942"/>
  <c r="J144" i="7942" s="1"/>
  <c r="J108" i="18"/>
  <c r="J69" i="18"/>
  <c r="I89" i="7944"/>
  <c r="J25" i="7944" s="1"/>
  <c r="G228" i="7941"/>
  <c r="H36" i="7941"/>
  <c r="I80" i="7944"/>
  <c r="J16" i="7944" s="1"/>
  <c r="G219" i="7941"/>
  <c r="H27" i="7941"/>
  <c r="E51" i="7947"/>
  <c r="H473" i="18"/>
  <c r="H11" i="18"/>
  <c r="H522" i="18"/>
  <c r="H80" i="7941"/>
  <c r="I447" i="18"/>
  <c r="I485" i="18"/>
  <c r="E220" i="7947"/>
  <c r="E150" i="7947"/>
  <c r="I480" i="18"/>
  <c r="I49" i="7941" s="1"/>
  <c r="I482" i="18"/>
  <c r="I51" i="7941" s="1"/>
  <c r="E178" i="7947"/>
  <c r="I496" i="18"/>
  <c r="E374" i="7947"/>
  <c r="E136" i="7947"/>
  <c r="I479" i="18"/>
  <c r="I48" i="7941" s="1"/>
  <c r="I484" i="18"/>
  <c r="I53" i="7941" s="1"/>
  <c r="E206" i="7947"/>
  <c r="I317" i="7942"/>
  <c r="J317" i="7942" s="1"/>
  <c r="I305" i="7942"/>
  <c r="J305" i="7942" s="1"/>
  <c r="I293" i="7942"/>
  <c r="J293" i="7942" s="1"/>
  <c r="I269" i="7942"/>
  <c r="H268" i="7942"/>
  <c r="I321" i="7942"/>
  <c r="J321" i="7942" s="1"/>
  <c r="I277" i="7942"/>
  <c r="J277" i="7942" s="1"/>
  <c r="I281" i="7942"/>
  <c r="J281" i="7942" s="1"/>
  <c r="I638" i="18"/>
  <c r="I637" i="18"/>
  <c r="I477" i="18"/>
  <c r="I46" i="7941" s="1"/>
  <c r="E304" i="7947"/>
  <c r="I491" i="18"/>
  <c r="I60" i="7941" s="1"/>
  <c r="E402" i="7947"/>
  <c r="I498" i="18"/>
  <c r="I499" i="18"/>
  <c r="I68" i="7941" s="1"/>
  <c r="E416" i="7947"/>
  <c r="I489" i="18"/>
  <c r="I58" i="7941" s="1"/>
  <c r="E276" i="7947"/>
  <c r="E388" i="7947"/>
  <c r="I497" i="18"/>
  <c r="I66" i="7941" s="1"/>
  <c r="I311" i="7942"/>
  <c r="J311" i="7942" s="1"/>
  <c r="I279" i="7942"/>
  <c r="J279" i="7942" s="1"/>
  <c r="I295" i="7942"/>
  <c r="J295" i="7942" s="1"/>
  <c r="I307" i="7942"/>
  <c r="J307" i="7942" s="1"/>
  <c r="I154" i="7942"/>
  <c r="J154" i="7942" s="1"/>
  <c r="I327" i="7942"/>
  <c r="J327" i="7942" s="1"/>
  <c r="I291" i="7942"/>
  <c r="J291" i="7942" s="1"/>
  <c r="I283" i="7942"/>
  <c r="J283" i="7942" s="1"/>
  <c r="I470" i="18"/>
  <c r="I11" i="18"/>
  <c r="H107" i="7942"/>
  <c r="H523" i="18"/>
  <c r="E262" i="7947"/>
  <c r="I488" i="18"/>
  <c r="I57" i="7941" s="1"/>
  <c r="I648" i="18"/>
  <c r="I647" i="18"/>
  <c r="I644" i="18"/>
  <c r="I646" i="18"/>
  <c r="I657" i="18"/>
  <c r="I527" i="18" s="1"/>
  <c r="I96" i="7941" s="1"/>
  <c r="I650" i="18"/>
  <c r="I641" i="18"/>
  <c r="I660" i="18"/>
  <c r="I530" i="18" s="1"/>
  <c r="I99" i="7941" s="1"/>
  <c r="I658" i="18"/>
  <c r="I528" i="18" s="1"/>
  <c r="I97" i="7941" s="1"/>
  <c r="I651" i="18"/>
  <c r="I659" i="18"/>
  <c r="I643" i="18"/>
  <c r="I653" i="18"/>
  <c r="I654" i="18"/>
  <c r="I655" i="18"/>
  <c r="I635" i="18"/>
  <c r="I478" i="18"/>
  <c r="I47" i="7941" s="1"/>
  <c r="I471" i="18"/>
  <c r="I40" i="7941" s="1"/>
  <c r="I474" i="18"/>
  <c r="I43" i="7941" s="1"/>
  <c r="I475" i="18"/>
  <c r="I44" i="7941" s="1"/>
  <c r="E346" i="7947"/>
  <c r="I494" i="18"/>
  <c r="I63" i="7941" s="1"/>
  <c r="E248" i="7947"/>
  <c r="I487" i="18"/>
  <c r="I56" i="7941" s="1"/>
  <c r="I481" i="18"/>
  <c r="I50" i="7941" s="1"/>
  <c r="E164" i="7947"/>
  <c r="E234" i="7947"/>
  <c r="I486" i="18"/>
  <c r="I55" i="7941" s="1"/>
  <c r="I325" i="7942"/>
  <c r="J325" i="7942" s="1"/>
  <c r="I289" i="7942"/>
  <c r="J289" i="7942" s="1"/>
  <c r="I285" i="7942"/>
  <c r="J285" i="7942" s="1"/>
  <c r="I297" i="7942"/>
  <c r="J297" i="7942" s="1"/>
  <c r="I323" i="7942"/>
  <c r="J323" i="7942" s="1"/>
  <c r="I275" i="7942"/>
  <c r="J275" i="7942" s="1"/>
  <c r="I315" i="7942"/>
  <c r="J315" i="7942" s="1"/>
  <c r="I313" i="7942"/>
  <c r="J313" i="7942" s="1"/>
  <c r="I639" i="18"/>
  <c r="I633" i="18"/>
  <c r="I640" i="18"/>
  <c r="I636" i="18"/>
  <c r="I473" i="18"/>
  <c r="J37" i="7944"/>
  <c r="I517" i="18"/>
  <c r="I86" i="7941" s="1"/>
  <c r="E290" i="7947"/>
  <c r="I490" i="18"/>
  <c r="I59" i="7941" s="1"/>
  <c r="I483" i="18"/>
  <c r="I52" i="7941" s="1"/>
  <c r="E192" i="7947"/>
  <c r="I492" i="18"/>
  <c r="I61" i="7941" s="1"/>
  <c r="E318" i="7947"/>
  <c r="I495" i="18"/>
  <c r="E360" i="7947"/>
  <c r="J166" i="1"/>
  <c r="J35" i="18" s="1"/>
  <c r="J159" i="1"/>
  <c r="J28" i="18" s="1"/>
  <c r="J158" i="1"/>
  <c r="J27" i="18" s="1"/>
  <c r="J153" i="1"/>
  <c r="J22" i="18" s="1"/>
  <c r="J165" i="1"/>
  <c r="J34" i="18" s="1"/>
  <c r="J162" i="1"/>
  <c r="J31" i="18" s="1"/>
  <c r="J171" i="1"/>
  <c r="J40" i="18" s="1"/>
  <c r="J163" i="1"/>
  <c r="J32" i="18" s="1"/>
  <c r="J156" i="1"/>
  <c r="J25" i="18" s="1"/>
  <c r="J157" i="1"/>
  <c r="J26" i="18" s="1"/>
  <c r="J172" i="1"/>
  <c r="J41" i="18" s="1"/>
  <c r="J7" i="18"/>
  <c r="J154" i="1"/>
  <c r="J23" i="18" s="1"/>
  <c r="J164" i="1"/>
  <c r="J33" i="18" s="1"/>
  <c r="J169" i="1"/>
  <c r="J38" i="18" s="1"/>
  <c r="J152" i="1"/>
  <c r="J21" i="18" s="1"/>
  <c r="J167" i="1"/>
  <c r="J36" i="18" s="1"/>
  <c r="J168" i="1"/>
  <c r="J37" i="18" s="1"/>
  <c r="J155" i="1"/>
  <c r="J24" i="18" s="1"/>
  <c r="J170" i="1"/>
  <c r="J39" i="18" s="1"/>
  <c r="J160" i="1"/>
  <c r="J29" i="18" s="1"/>
  <c r="J161" i="1"/>
  <c r="J30" i="18" s="1"/>
  <c r="J149" i="1"/>
  <c r="J143" i="1"/>
  <c r="J150" i="1"/>
  <c r="J146" i="1"/>
  <c r="J147" i="1"/>
  <c r="J145" i="1"/>
  <c r="J148" i="1"/>
  <c r="J144" i="1"/>
  <c r="J151" i="1"/>
  <c r="E332" i="7947"/>
  <c r="I493" i="18"/>
  <c r="I62" i="7941" s="1"/>
  <c r="I152" i="7942"/>
  <c r="I309" i="7942"/>
  <c r="J309" i="7942" s="1"/>
  <c r="I287" i="7942"/>
  <c r="J287" i="7942" s="1"/>
  <c r="I303" i="7942"/>
  <c r="J303" i="7942" s="1"/>
  <c r="I319" i="7942"/>
  <c r="J319" i="7942" s="1"/>
  <c r="I301" i="7942"/>
  <c r="J301" i="7942" s="1"/>
  <c r="I271" i="7942"/>
  <c r="J271" i="7942" s="1"/>
  <c r="I164" i="7942"/>
  <c r="I273" i="7942"/>
  <c r="J273" i="7942" s="1"/>
  <c r="I299" i="7942"/>
  <c r="J299" i="7942" s="1"/>
  <c r="I476" i="18"/>
  <c r="I45" i="7941" s="1"/>
  <c r="I173" i="1"/>
  <c r="K47" i="7947"/>
  <c r="L47" i="7947"/>
  <c r="J47" i="7947"/>
  <c r="H71" i="7941"/>
  <c r="I438" i="18"/>
  <c r="I666" i="18" s="1"/>
  <c r="I24" i="7941"/>
  <c r="H6" i="7941"/>
  <c r="I456" i="18"/>
  <c r="I684" i="18" s="1"/>
  <c r="I520" i="18" s="1"/>
  <c r="I89" i="7941" s="1"/>
  <c r="H83" i="7941"/>
  <c r="I450" i="18"/>
  <c r="I678" i="18" s="1"/>
  <c r="I514" i="18" s="1"/>
  <c r="H95" i="7941"/>
  <c r="H223" i="7941" s="1"/>
  <c r="I462" i="18"/>
  <c r="I690" i="18" s="1"/>
  <c r="I526" i="18" s="1"/>
  <c r="I95" i="7941" s="1"/>
  <c r="H217" i="7941"/>
  <c r="I693" i="18"/>
  <c r="I529" i="18" s="1"/>
  <c r="I98" i="7941" s="1"/>
  <c r="I688" i="18"/>
  <c r="I524" i="18" s="1"/>
  <c r="I93" i="7941" s="1"/>
  <c r="I22" i="7941"/>
  <c r="G198" i="7941"/>
  <c r="H224" i="7941"/>
  <c r="H216" i="7941"/>
  <c r="I31" i="7941"/>
  <c r="H82" i="7941"/>
  <c r="I449" i="18"/>
  <c r="I677" i="18" s="1"/>
  <c r="I29" i="7941"/>
  <c r="H221" i="7941"/>
  <c r="I34" i="7941"/>
  <c r="H75" i="7941"/>
  <c r="I442" i="18"/>
  <c r="I23" i="7941"/>
  <c r="H215" i="7941"/>
  <c r="I26" i="7941"/>
  <c r="H218" i="7941"/>
  <c r="I30" i="7941"/>
  <c r="H222" i="7941"/>
  <c r="I502" i="18"/>
  <c r="I631" i="18"/>
  <c r="H85" i="7941"/>
  <c r="I452" i="18"/>
  <c r="H81" i="7941"/>
  <c r="I448" i="18"/>
  <c r="H78" i="7941"/>
  <c r="I445" i="18"/>
  <c r="I451" i="18"/>
  <c r="H84" i="7941"/>
  <c r="H79" i="7941"/>
  <c r="I446" i="18"/>
  <c r="I683" i="18"/>
  <c r="I519" i="18" s="1"/>
  <c r="I88" i="7941" s="1"/>
  <c r="H228" i="7941"/>
  <c r="I36" i="7941"/>
  <c r="I682" i="18"/>
  <c r="I518" i="18" s="1"/>
  <c r="I87" i="7941" s="1"/>
  <c r="J450" i="18"/>
  <c r="I83" i="7941"/>
  <c r="J462" i="18"/>
  <c r="I223" i="7941"/>
  <c r="I685" i="18"/>
  <c r="I521" i="18" s="1"/>
  <c r="I90" i="7941" s="1"/>
  <c r="J467" i="18"/>
  <c r="I689" i="18"/>
  <c r="I525" i="18" s="1"/>
  <c r="I94" i="7941" s="1"/>
  <c r="H76" i="7941"/>
  <c r="I443" i="18"/>
  <c r="H634" i="18"/>
  <c r="H43" i="18"/>
  <c r="I43" i="18"/>
  <c r="J94" i="7944" l="1"/>
  <c r="K30" i="7944"/>
  <c r="H77" i="7941"/>
  <c r="I444" i="18"/>
  <c r="M87" i="7944"/>
  <c r="N23" i="7944" s="1"/>
  <c r="I99" i="7944"/>
  <c r="J35" i="7944" s="1"/>
  <c r="I7" i="7944"/>
  <c r="J75" i="7944"/>
  <c r="K11" i="7944" s="1"/>
  <c r="J83" i="7944"/>
  <c r="K19" i="7944" s="1"/>
  <c r="K20" i="7944"/>
  <c r="J84" i="7944"/>
  <c r="J80" i="7944"/>
  <c r="K16" i="7944"/>
  <c r="J89" i="7944"/>
  <c r="K25" i="7944" s="1"/>
  <c r="J162" i="7942"/>
  <c r="J82" i="7944"/>
  <c r="K18" i="7944"/>
  <c r="J76" i="7944"/>
  <c r="K12" i="7944"/>
  <c r="K92" i="7944"/>
  <c r="L28" i="7944" s="1"/>
  <c r="J85" i="7944"/>
  <c r="K21" i="7944" s="1"/>
  <c r="J96" i="7944"/>
  <c r="K32" i="7944" s="1"/>
  <c r="K184" i="1"/>
  <c r="K7" i="7942" s="1"/>
  <c r="L183" i="1"/>
  <c r="H665" i="18"/>
  <c r="K86" i="7944"/>
  <c r="L22" i="7944"/>
  <c r="I74" i="7944"/>
  <c r="J10" i="7944"/>
  <c r="I73" i="7944"/>
  <c r="I71" i="7944" s="1"/>
  <c r="I146" i="7942"/>
  <c r="J95" i="7944"/>
  <c r="K31" i="7944" s="1"/>
  <c r="J88" i="7944"/>
  <c r="K24" i="7944" s="1"/>
  <c r="J97" i="7944"/>
  <c r="K33" i="7944"/>
  <c r="J126" i="7942"/>
  <c r="J150" i="7942"/>
  <c r="K150" i="7942" s="1"/>
  <c r="J146" i="7942"/>
  <c r="J130" i="7942"/>
  <c r="J140" i="7942"/>
  <c r="K140" i="7942" s="1"/>
  <c r="J134" i="7942"/>
  <c r="J108" i="7942"/>
  <c r="J156" i="7942"/>
  <c r="J148" i="7942"/>
  <c r="J132" i="7942"/>
  <c r="J120" i="7942"/>
  <c r="J110" i="7942"/>
  <c r="J122" i="7942"/>
  <c r="J124" i="7942"/>
  <c r="J128" i="7942"/>
  <c r="J142" i="7942"/>
  <c r="J98" i="7944"/>
  <c r="K34" i="7944"/>
  <c r="J160" i="18"/>
  <c r="J43" i="18" s="1"/>
  <c r="H225" i="7941"/>
  <c r="I33" i="7941"/>
  <c r="H503" i="18"/>
  <c r="P4" i="7942"/>
  <c r="P142" i="1"/>
  <c r="Q40" i="1"/>
  <c r="P4" i="18"/>
  <c r="P74" i="1"/>
  <c r="P108" i="1" s="1"/>
  <c r="P176" i="1"/>
  <c r="P4" i="7944"/>
  <c r="P4" i="7941"/>
  <c r="I114" i="7942"/>
  <c r="J114" i="7942" s="1"/>
  <c r="I116" i="7942"/>
  <c r="I112" i="7942"/>
  <c r="I118" i="7942"/>
  <c r="I108" i="7942"/>
  <c r="I130" i="7942"/>
  <c r="I217" i="7941"/>
  <c r="K278" i="18"/>
  <c r="K290" i="18" s="1"/>
  <c r="K291" i="18"/>
  <c r="K303" i="18" s="1"/>
  <c r="K70" i="18"/>
  <c r="K82" i="18" s="1"/>
  <c r="K122" i="18"/>
  <c r="K44" i="18"/>
  <c r="K83" i="18"/>
  <c r="K95" i="18" s="1"/>
  <c r="K151" i="18"/>
  <c r="K137" i="18"/>
  <c r="K382" i="18"/>
  <c r="K394" i="18" s="1"/>
  <c r="K174" i="18"/>
  <c r="K186" i="18" s="1"/>
  <c r="K96" i="18"/>
  <c r="K57" i="18"/>
  <c r="K150" i="18"/>
  <c r="K99" i="18"/>
  <c r="K343" i="18"/>
  <c r="K355" i="18" s="1"/>
  <c r="K187" i="18"/>
  <c r="K199" i="18" s="1"/>
  <c r="K111" i="18"/>
  <c r="K59" i="18"/>
  <c r="K226" i="18"/>
  <c r="K238" i="18" s="1"/>
  <c r="K135" i="18"/>
  <c r="K109" i="18"/>
  <c r="K98" i="18"/>
  <c r="K60" i="18"/>
  <c r="K125" i="18"/>
  <c r="K112" i="18"/>
  <c r="K421" i="18"/>
  <c r="K433" i="18" s="1"/>
  <c r="K356" i="18"/>
  <c r="K368" i="18" s="1"/>
  <c r="K148" i="18"/>
  <c r="K317" i="18"/>
  <c r="K329" i="18" s="1"/>
  <c r="K124" i="18"/>
  <c r="K200" i="18"/>
  <c r="K212" i="18" s="1"/>
  <c r="K239" i="18"/>
  <c r="K251" i="18" s="1"/>
  <c r="K395" i="18"/>
  <c r="K408" i="18"/>
  <c r="K420" i="18" s="1"/>
  <c r="K46" i="18"/>
  <c r="K304" i="18"/>
  <c r="K316" i="18" s="1"/>
  <c r="L3" i="18"/>
  <c r="K330" i="18"/>
  <c r="K342" i="18" s="1"/>
  <c r="K265" i="18"/>
  <c r="K277" i="18" s="1"/>
  <c r="K138" i="18"/>
  <c r="K47" i="18"/>
  <c r="K252" i="18"/>
  <c r="K264" i="18" s="1"/>
  <c r="K161" i="18"/>
  <c r="K173" i="18" s="1"/>
  <c r="K213" i="18"/>
  <c r="K225" i="18" s="1"/>
  <c r="K369" i="18"/>
  <c r="K381" i="18" s="1"/>
  <c r="J77" i="7944"/>
  <c r="K13" i="7944"/>
  <c r="I136" i="7942"/>
  <c r="J136" i="7942" s="1"/>
  <c r="L126" i="18"/>
  <c r="L152" i="18"/>
  <c r="J25" i="7941"/>
  <c r="J636" i="18"/>
  <c r="I513" i="18"/>
  <c r="J15" i="18"/>
  <c r="H91" i="7941"/>
  <c r="I458" i="18"/>
  <c r="H42" i="7941"/>
  <c r="I441" i="18"/>
  <c r="I669" i="18" s="1"/>
  <c r="I505" i="18" s="1"/>
  <c r="I74" i="7941" s="1"/>
  <c r="H469" i="18"/>
  <c r="J14" i="18"/>
  <c r="E39" i="7947" s="1"/>
  <c r="J164" i="7942"/>
  <c r="K303" i="7942"/>
  <c r="J173" i="1"/>
  <c r="J12" i="18"/>
  <c r="K48" i="18"/>
  <c r="K7" i="18"/>
  <c r="K648" i="18" s="1"/>
  <c r="K158" i="1"/>
  <c r="K27" i="18" s="1"/>
  <c r="K171" i="1"/>
  <c r="K40" i="18" s="1"/>
  <c r="K166" i="1"/>
  <c r="K35" i="18" s="1"/>
  <c r="K172" i="1"/>
  <c r="K41" i="18" s="1"/>
  <c r="K153" i="1"/>
  <c r="K22" i="18" s="1"/>
  <c r="K168" i="1"/>
  <c r="K37" i="18" s="1"/>
  <c r="K161" i="1"/>
  <c r="K30" i="18" s="1"/>
  <c r="K164" i="1"/>
  <c r="K33" i="18" s="1"/>
  <c r="K169" i="1"/>
  <c r="K38" i="18" s="1"/>
  <c r="K156" i="1"/>
  <c r="K25" i="18" s="1"/>
  <c r="K163" i="1"/>
  <c r="K32" i="18" s="1"/>
  <c r="K155" i="1"/>
  <c r="K24" i="18" s="1"/>
  <c r="K165" i="1"/>
  <c r="K34" i="18" s="1"/>
  <c r="K162" i="1"/>
  <c r="K31" i="18" s="1"/>
  <c r="K160" i="1"/>
  <c r="K29" i="18" s="1"/>
  <c r="K159" i="1"/>
  <c r="K28" i="18" s="1"/>
  <c r="K154" i="1"/>
  <c r="K23" i="18" s="1"/>
  <c r="K167" i="1"/>
  <c r="K36" i="18" s="1"/>
  <c r="K170" i="1"/>
  <c r="K39" i="18" s="1"/>
  <c r="K152" i="1"/>
  <c r="K21" i="18" s="1"/>
  <c r="K157" i="1"/>
  <c r="K26" i="18" s="1"/>
  <c r="K150" i="1"/>
  <c r="K145" i="1"/>
  <c r="K147" i="1"/>
  <c r="K143" i="1"/>
  <c r="K148" i="1"/>
  <c r="K151" i="1"/>
  <c r="K144" i="1"/>
  <c r="K146" i="1"/>
  <c r="K149" i="1"/>
  <c r="E347" i="7947"/>
  <c r="J494" i="18"/>
  <c r="J63" i="7941" s="1"/>
  <c r="E165" i="7947"/>
  <c r="J481" i="18"/>
  <c r="J50" i="7941" s="1"/>
  <c r="E193" i="7947"/>
  <c r="J483" i="18"/>
  <c r="J52" i="7941" s="1"/>
  <c r="J492" i="18"/>
  <c r="J61" i="7941" s="1"/>
  <c r="E319" i="7947"/>
  <c r="J493" i="18"/>
  <c r="J62" i="7941" s="1"/>
  <c r="E333" i="7947"/>
  <c r="J655" i="18"/>
  <c r="I42" i="7941"/>
  <c r="K325" i="7942"/>
  <c r="H92" i="7941"/>
  <c r="I459" i="18"/>
  <c r="J650" i="18"/>
  <c r="I65" i="7941"/>
  <c r="J464" i="18"/>
  <c r="K323" i="7942"/>
  <c r="K319" i="7942"/>
  <c r="J456" i="18"/>
  <c r="K152" i="18"/>
  <c r="K160" i="18" s="1"/>
  <c r="K640" i="18" s="1"/>
  <c r="J20" i="18"/>
  <c r="J478" i="18" s="1"/>
  <c r="J47" i="7941" s="1"/>
  <c r="J16" i="18"/>
  <c r="J474" i="18" s="1"/>
  <c r="J43" i="7941" s="1"/>
  <c r="K100" i="18"/>
  <c r="K126" i="18"/>
  <c r="K134" i="18" s="1"/>
  <c r="K638" i="18" s="1"/>
  <c r="J18" i="18"/>
  <c r="J476" i="18" s="1"/>
  <c r="J45" i="7941" s="1"/>
  <c r="J497" i="18"/>
  <c r="J66" i="7941" s="1"/>
  <c r="E389" i="7947"/>
  <c r="J479" i="18"/>
  <c r="J48" i="7941" s="1"/>
  <c r="E137" i="7947"/>
  <c r="J661" i="18"/>
  <c r="J657" i="18"/>
  <c r="J646" i="18"/>
  <c r="J645" i="18"/>
  <c r="J654" i="18"/>
  <c r="J649" i="18"/>
  <c r="J647" i="18"/>
  <c r="J642" i="18"/>
  <c r="J653" i="18"/>
  <c r="J651" i="18"/>
  <c r="J660" i="18"/>
  <c r="J641" i="18"/>
  <c r="J635" i="18"/>
  <c r="J644" i="18"/>
  <c r="J652" i="18"/>
  <c r="J643" i="18"/>
  <c r="J638" i="18"/>
  <c r="J637" i="18"/>
  <c r="J648" i="18"/>
  <c r="J633" i="18"/>
  <c r="J490" i="18"/>
  <c r="J59" i="7941" s="1"/>
  <c r="E291" i="7947"/>
  <c r="J480" i="18"/>
  <c r="J49" i="7941" s="1"/>
  <c r="E151" i="7947"/>
  <c r="J634" i="18"/>
  <c r="I67" i="7941"/>
  <c r="J466" i="18"/>
  <c r="J694" i="18" s="1"/>
  <c r="J530" i="18" s="1"/>
  <c r="J99" i="7941" s="1"/>
  <c r="K321" i="7942"/>
  <c r="J659" i="18"/>
  <c r="K283" i="7942"/>
  <c r="J632" i="18"/>
  <c r="K287" i="7942"/>
  <c r="E123" i="7947"/>
  <c r="F123" i="7947" s="1"/>
  <c r="J123" i="7947" s="1"/>
  <c r="J152" i="7942"/>
  <c r="I107" i="7942"/>
  <c r="K61" i="18"/>
  <c r="J13" i="18"/>
  <c r="J471" i="18" s="1"/>
  <c r="J40" i="7941" s="1"/>
  <c r="J473" i="18"/>
  <c r="J42" i="7941" s="1"/>
  <c r="E53" i="7947"/>
  <c r="J488" i="18"/>
  <c r="J57" i="7941" s="1"/>
  <c r="E263" i="7947"/>
  <c r="J482" i="18"/>
  <c r="J51" i="7941" s="1"/>
  <c r="E179" i="7947"/>
  <c r="J496" i="18"/>
  <c r="J65" i="7941" s="1"/>
  <c r="E375" i="7947"/>
  <c r="E417" i="7947"/>
  <c r="J499" i="18"/>
  <c r="J68" i="7941" s="1"/>
  <c r="E403" i="7947"/>
  <c r="J498" i="18"/>
  <c r="J67" i="7941" s="1"/>
  <c r="J485" i="18"/>
  <c r="J54" i="7941" s="1"/>
  <c r="E221" i="7947"/>
  <c r="I64" i="7941"/>
  <c r="J32" i="7941" s="1"/>
  <c r="J463" i="18"/>
  <c r="J691" i="18" s="1"/>
  <c r="J656" i="18"/>
  <c r="I39" i="7941"/>
  <c r="I469" i="18"/>
  <c r="J639" i="18"/>
  <c r="I54" i="7941"/>
  <c r="J22" i="7941" s="1"/>
  <c r="J453" i="18"/>
  <c r="J681" i="18" s="1"/>
  <c r="K313" i="7942"/>
  <c r="I675" i="18"/>
  <c r="I511" i="18" s="1"/>
  <c r="I80" i="7941" s="1"/>
  <c r="K273" i="7942"/>
  <c r="K309" i="7942"/>
  <c r="K164" i="7942"/>
  <c r="J17" i="18"/>
  <c r="J475" i="18" s="1"/>
  <c r="J44" i="7941" s="1"/>
  <c r="K113" i="18"/>
  <c r="K121" i="18" s="1"/>
  <c r="K139" i="18"/>
  <c r="K147" i="18" s="1"/>
  <c r="J19" i="18"/>
  <c r="J477" i="18" s="1"/>
  <c r="J46" i="7941" s="1"/>
  <c r="J487" i="18"/>
  <c r="J56" i="7941" s="1"/>
  <c r="E249" i="7947"/>
  <c r="J495" i="18"/>
  <c r="J64" i="7941" s="1"/>
  <c r="E361" i="7947"/>
  <c r="E305" i="7947"/>
  <c r="J491" i="18"/>
  <c r="J60" i="7941" s="1"/>
  <c r="E207" i="7947"/>
  <c r="J484" i="18"/>
  <c r="J53" i="7941" s="1"/>
  <c r="E277" i="7947"/>
  <c r="J489" i="18"/>
  <c r="J58" i="7941" s="1"/>
  <c r="E235" i="7947"/>
  <c r="J486" i="18"/>
  <c r="J55" i="7941" s="1"/>
  <c r="J658" i="18"/>
  <c r="K37" i="7944"/>
  <c r="K291" i="7942"/>
  <c r="K277" i="7942"/>
  <c r="I268" i="7942"/>
  <c r="J269" i="7942"/>
  <c r="K275" i="7942"/>
  <c r="I16" i="7941"/>
  <c r="H208" i="7941"/>
  <c r="K301" i="7942"/>
  <c r="I7" i="7941"/>
  <c r="H199" i="7941"/>
  <c r="J461" i="18"/>
  <c r="J689" i="18" s="1"/>
  <c r="J525" i="18" s="1"/>
  <c r="J94" i="7941" s="1"/>
  <c r="I11" i="7941"/>
  <c r="H203" i="7941"/>
  <c r="J684" i="18"/>
  <c r="J460" i="18"/>
  <c r="J465" i="18"/>
  <c r="I670" i="18"/>
  <c r="I506" i="18" s="1"/>
  <c r="I75" i="7941" s="1"/>
  <c r="I203" i="7941" s="1"/>
  <c r="J34" i="7941"/>
  <c r="I226" i="7941"/>
  <c r="J29" i="7941"/>
  <c r="I221" i="7941"/>
  <c r="H210" i="7941"/>
  <c r="I18" i="7941"/>
  <c r="I214" i="7941"/>
  <c r="J31" i="7941"/>
  <c r="H211" i="7941"/>
  <c r="I19" i="7941"/>
  <c r="J19" i="7941" s="1"/>
  <c r="H504" i="18"/>
  <c r="H631" i="18"/>
  <c r="H204" i="7941"/>
  <c r="I12" i="7941"/>
  <c r="J695" i="18"/>
  <c r="J531" i="18" s="1"/>
  <c r="J100" i="7941" s="1"/>
  <c r="J690" i="18"/>
  <c r="J526" i="18" s="1"/>
  <c r="J95" i="7941" s="1"/>
  <c r="J678" i="18"/>
  <c r="I216" i="7941"/>
  <c r="J24" i="7941"/>
  <c r="H207" i="7941"/>
  <c r="I15" i="7941"/>
  <c r="I679" i="18"/>
  <c r="I515" i="18" s="1"/>
  <c r="I84" i="7941" s="1"/>
  <c r="I673" i="18"/>
  <c r="I509" i="18" s="1"/>
  <c r="I78" i="7941" s="1"/>
  <c r="I676" i="18"/>
  <c r="I512" i="18" s="1"/>
  <c r="I81" i="7941" s="1"/>
  <c r="I680" i="18"/>
  <c r="I516" i="18" s="1"/>
  <c r="I85" i="7941" s="1"/>
  <c r="I672" i="18"/>
  <c r="I508" i="18" s="1"/>
  <c r="I77" i="7941" s="1"/>
  <c r="I671" i="18"/>
  <c r="I507" i="18" s="1"/>
  <c r="I76" i="7941" s="1"/>
  <c r="J457" i="18"/>
  <c r="J454" i="18"/>
  <c r="J36" i="7941"/>
  <c r="I228" i="7941"/>
  <c r="J455" i="18"/>
  <c r="I674" i="18"/>
  <c r="I510" i="18" s="1"/>
  <c r="I79" i="7941" s="1"/>
  <c r="H212" i="7941"/>
  <c r="I20" i="7941"/>
  <c r="I14" i="7941"/>
  <c r="H206" i="7941"/>
  <c r="I17" i="7941"/>
  <c r="H209" i="7941"/>
  <c r="I21" i="7941"/>
  <c r="H213" i="7941"/>
  <c r="I71" i="7941"/>
  <c r="J438" i="18"/>
  <c r="J30" i="7941"/>
  <c r="I222" i="7941"/>
  <c r="J26" i="7941"/>
  <c r="I218" i="7941"/>
  <c r="I13" i="7941"/>
  <c r="H205" i="7941"/>
  <c r="I215" i="7941"/>
  <c r="J23" i="7941"/>
  <c r="K95" i="7944" l="1"/>
  <c r="L31" i="7944"/>
  <c r="K96" i="7944"/>
  <c r="L32" i="7944"/>
  <c r="K89" i="7944"/>
  <c r="L25" i="7944" s="1"/>
  <c r="J99" i="7944"/>
  <c r="K35" i="7944"/>
  <c r="K83" i="7944"/>
  <c r="L19" i="7944" s="1"/>
  <c r="N87" i="7944"/>
  <c r="O23" i="7944" s="1"/>
  <c r="K88" i="7944"/>
  <c r="L24" i="7944"/>
  <c r="K85" i="7944"/>
  <c r="L21" i="7944" s="1"/>
  <c r="K75" i="7944"/>
  <c r="L11" i="7944"/>
  <c r="L92" i="7944"/>
  <c r="M28" i="7944" s="1"/>
  <c r="K466" i="18"/>
  <c r="K694" i="18" s="1"/>
  <c r="K639" i="18"/>
  <c r="K56" i="18"/>
  <c r="K98" i="7944"/>
  <c r="L34" i="7944"/>
  <c r="K132" i="7942"/>
  <c r="L184" i="1"/>
  <c r="L7" i="7942" s="1"/>
  <c r="L164" i="7942" s="1"/>
  <c r="M183" i="1"/>
  <c r="N183" i="1" s="1"/>
  <c r="O183" i="1" s="1"/>
  <c r="P183" i="1" s="1"/>
  <c r="Q183" i="1" s="1"/>
  <c r="K80" i="7944"/>
  <c r="L16" i="7944"/>
  <c r="K77" i="7944"/>
  <c r="L13" i="7944" s="1"/>
  <c r="K637" i="18"/>
  <c r="L213" i="18"/>
  <c r="L317" i="18"/>
  <c r="L343" i="18"/>
  <c r="L226" i="18"/>
  <c r="L369" i="18"/>
  <c r="L70" i="18"/>
  <c r="L109" i="18"/>
  <c r="E78" i="7947" s="1"/>
  <c r="L151" i="18"/>
  <c r="E122" i="7947" s="1"/>
  <c r="F122" i="7947" s="1"/>
  <c r="L100" i="18"/>
  <c r="L59" i="18"/>
  <c r="E23" i="7947" s="1"/>
  <c r="F23" i="7947" s="1"/>
  <c r="L138" i="18"/>
  <c r="E108" i="7947" s="1"/>
  <c r="F108" i="7947" s="1"/>
  <c r="L98" i="18"/>
  <c r="E65" i="7947" s="1"/>
  <c r="F65" i="7947" s="1"/>
  <c r="L187" i="18"/>
  <c r="L252" i="18"/>
  <c r="L135" i="18"/>
  <c r="E106" i="7947" s="1"/>
  <c r="L421" i="18"/>
  <c r="L239" i="18"/>
  <c r="L356" i="18"/>
  <c r="L57" i="18"/>
  <c r="E22" i="7947" s="1"/>
  <c r="L96" i="18"/>
  <c r="E64" i="7947" s="1"/>
  <c r="L150" i="18"/>
  <c r="E121" i="7947" s="1"/>
  <c r="F121" i="7947" s="1"/>
  <c r="L124" i="18"/>
  <c r="E93" i="7947" s="1"/>
  <c r="F93" i="7947" s="1"/>
  <c r="L48" i="18"/>
  <c r="L137" i="18"/>
  <c r="E107" i="7947" s="1"/>
  <c r="F107" i="7947" s="1"/>
  <c r="L112" i="18"/>
  <c r="E80" i="7947" s="1"/>
  <c r="F80" i="7947" s="1"/>
  <c r="L139" i="18"/>
  <c r="L395" i="18"/>
  <c r="L407" i="18" s="1"/>
  <c r="L408" i="18"/>
  <c r="L174" i="18"/>
  <c r="L148" i="18"/>
  <c r="E120" i="7947" s="1"/>
  <c r="L200" i="18"/>
  <c r="L382" i="18"/>
  <c r="L122" i="18"/>
  <c r="E92" i="7947" s="1"/>
  <c r="L83" i="18"/>
  <c r="L111" i="18"/>
  <c r="E79" i="7947" s="1"/>
  <c r="F79" i="7947" s="1"/>
  <c r="L125" i="18"/>
  <c r="E94" i="7947" s="1"/>
  <c r="F94" i="7947" s="1"/>
  <c r="L46" i="18"/>
  <c r="E9" i="7947" s="1"/>
  <c r="F9" i="7947" s="1"/>
  <c r="L61" i="18"/>
  <c r="L47" i="18"/>
  <c r="E10" i="7947" s="1"/>
  <c r="F10" i="7947" s="1"/>
  <c r="L278" i="18"/>
  <c r="M3" i="18"/>
  <c r="L291" i="18"/>
  <c r="L44" i="18"/>
  <c r="E8" i="7947" s="1"/>
  <c r="L60" i="18"/>
  <c r="E24" i="7947" s="1"/>
  <c r="F24" i="7947" s="1"/>
  <c r="L113" i="18"/>
  <c r="L265" i="18"/>
  <c r="L161" i="18"/>
  <c r="L330" i="18"/>
  <c r="L304" i="18"/>
  <c r="L99" i="18"/>
  <c r="E66" i="7947" s="1"/>
  <c r="F66" i="7947" s="1"/>
  <c r="K407" i="18"/>
  <c r="E386" i="7947"/>
  <c r="J118" i="7942"/>
  <c r="K118" i="7942" s="1"/>
  <c r="L118" i="7942" s="1"/>
  <c r="I439" i="18"/>
  <c r="H72" i="7941"/>
  <c r="J640" i="18"/>
  <c r="K122" i="7942"/>
  <c r="K134" i="7942"/>
  <c r="L86" i="7944"/>
  <c r="M22" i="7944" s="1"/>
  <c r="K166" i="7942"/>
  <c r="K144" i="7942"/>
  <c r="K108" i="7942"/>
  <c r="K158" i="7942"/>
  <c r="K160" i="7942"/>
  <c r="K142" i="7942"/>
  <c r="K138" i="7942"/>
  <c r="K120" i="7942"/>
  <c r="K162" i="7942"/>
  <c r="K136" i="7942"/>
  <c r="K128" i="7942"/>
  <c r="K281" i="7942"/>
  <c r="K307" i="7942"/>
  <c r="K114" i="7942"/>
  <c r="K299" i="7942"/>
  <c r="K130" i="7942"/>
  <c r="K146" i="7942"/>
  <c r="K156" i="7942"/>
  <c r="K305" i="7942"/>
  <c r="K154" i="7942"/>
  <c r="K279" i="7942"/>
  <c r="K293" i="7942"/>
  <c r="K124" i="7942"/>
  <c r="K317" i="7942"/>
  <c r="K295" i="7942"/>
  <c r="K327" i="7942"/>
  <c r="K271" i="7942"/>
  <c r="K297" i="7942"/>
  <c r="K285" i="7942"/>
  <c r="K110" i="7942"/>
  <c r="K289" i="7942"/>
  <c r="K311" i="7942"/>
  <c r="K315" i="7942"/>
  <c r="K148" i="7942"/>
  <c r="K94" i="7944"/>
  <c r="L30" i="7944" s="1"/>
  <c r="L277" i="7942"/>
  <c r="J517" i="18"/>
  <c r="K69" i="18"/>
  <c r="K633" i="18" s="1"/>
  <c r="E95" i="7947"/>
  <c r="F95" i="7947" s="1"/>
  <c r="J112" i="7942"/>
  <c r="Q4" i="18"/>
  <c r="R4" i="18" s="1"/>
  <c r="Q142" i="1"/>
  <c r="Q4" i="7944"/>
  <c r="R4" i="7944" s="1"/>
  <c r="Q4" i="7942"/>
  <c r="Q176" i="1"/>
  <c r="Q4" i="7941"/>
  <c r="Q74" i="1"/>
  <c r="Q108" i="1" s="1"/>
  <c r="K126" i="7942"/>
  <c r="J9" i="7944"/>
  <c r="J116" i="7942"/>
  <c r="K116" i="7942" s="1"/>
  <c r="K97" i="7944"/>
  <c r="L33" i="7944" s="1"/>
  <c r="J74" i="7944"/>
  <c r="K10" i="7944"/>
  <c r="K76" i="7944"/>
  <c r="L12" i="7944"/>
  <c r="L18" i="7944"/>
  <c r="K82" i="7944"/>
  <c r="K84" i="7944"/>
  <c r="L20" i="7944"/>
  <c r="L95" i="7947"/>
  <c r="K95" i="7947"/>
  <c r="J95" i="7947"/>
  <c r="J472" i="18"/>
  <c r="J41" i="7941" s="1"/>
  <c r="J449" i="18"/>
  <c r="J677" i="18" s="1"/>
  <c r="J513" i="18" s="1"/>
  <c r="J82" i="7941" s="1"/>
  <c r="I82" i="7941"/>
  <c r="K15" i="18"/>
  <c r="K108" i="18"/>
  <c r="K636" i="18" s="1"/>
  <c r="E67" i="7947"/>
  <c r="F67" i="7947" s="1"/>
  <c r="K67" i="7947" s="1"/>
  <c r="J514" i="18"/>
  <c r="J83" i="7941" s="1"/>
  <c r="M127" i="18"/>
  <c r="H202" i="7941"/>
  <c r="H38" i="7941"/>
  <c r="I10" i="7941"/>
  <c r="J520" i="18"/>
  <c r="J89" i="7941" s="1"/>
  <c r="J217" i="7941" s="1"/>
  <c r="J527" i="18"/>
  <c r="J96" i="7941" s="1"/>
  <c r="K32" i="7941" s="1"/>
  <c r="J441" i="18"/>
  <c r="J669" i="18" s="1"/>
  <c r="K14" i="18"/>
  <c r="I686" i="18"/>
  <c r="I522" i="18" s="1"/>
  <c r="I91" i="7941" s="1"/>
  <c r="I27" i="7941"/>
  <c r="H219" i="7941"/>
  <c r="H123" i="7947"/>
  <c r="L123" i="7947"/>
  <c r="K123" i="7947"/>
  <c r="I123" i="7947"/>
  <c r="L301" i="7942"/>
  <c r="J268" i="7942"/>
  <c r="K269" i="7942"/>
  <c r="K268" i="7942" s="1"/>
  <c r="E109" i="7947"/>
  <c r="F109" i="7947" s="1"/>
  <c r="J224" i="7941"/>
  <c r="K152" i="7942"/>
  <c r="J107" i="7942"/>
  <c r="I224" i="7941"/>
  <c r="K13" i="18"/>
  <c r="K471" i="18" s="1"/>
  <c r="K40" i="7941" s="1"/>
  <c r="L62" i="18"/>
  <c r="K16" i="18"/>
  <c r="K474" i="18" s="1"/>
  <c r="K43" i="7941" s="1"/>
  <c r="L101" i="18"/>
  <c r="K479" i="18"/>
  <c r="K48" i="7941" s="1"/>
  <c r="E138" i="7947"/>
  <c r="E236" i="7947"/>
  <c r="K486" i="18"/>
  <c r="K55" i="7941" s="1"/>
  <c r="K482" i="18"/>
  <c r="K51" i="7941" s="1"/>
  <c r="E180" i="7947"/>
  <c r="K496" i="18"/>
  <c r="K65" i="7941" s="1"/>
  <c r="E376" i="7947"/>
  <c r="K480" i="18"/>
  <c r="K49" i="7941" s="1"/>
  <c r="E152" i="7947"/>
  <c r="K485" i="18"/>
  <c r="K54" i="7941" s="1"/>
  <c r="E222" i="7947"/>
  <c r="E25" i="7947"/>
  <c r="F25" i="7947" s="1"/>
  <c r="L309" i="7942"/>
  <c r="L313" i="7942"/>
  <c r="M313" i="7942" s="1"/>
  <c r="J631" i="18"/>
  <c r="I38" i="7941"/>
  <c r="I227" i="7941"/>
  <c r="J35" i="7941"/>
  <c r="L323" i="7942"/>
  <c r="M323" i="7942"/>
  <c r="L324" i="7942" s="1"/>
  <c r="M277" i="7942"/>
  <c r="L278" i="7942" s="1"/>
  <c r="I687" i="18"/>
  <c r="I523" i="18" s="1"/>
  <c r="I92" i="7941" s="1"/>
  <c r="L275" i="7942"/>
  <c r="M275" i="7942" s="1"/>
  <c r="L276" i="7942" s="1"/>
  <c r="J505" i="18"/>
  <c r="K20" i="18"/>
  <c r="K478" i="18" s="1"/>
  <c r="K47" i="7941" s="1"/>
  <c r="L153" i="18"/>
  <c r="K472" i="18"/>
  <c r="K41" i="7941" s="1"/>
  <c r="E40" i="7947"/>
  <c r="E390" i="7947"/>
  <c r="K497" i="18"/>
  <c r="K66" i="7941" s="1"/>
  <c r="K487" i="18"/>
  <c r="K56" i="7941" s="1"/>
  <c r="E250" i="7947"/>
  <c r="E292" i="7947"/>
  <c r="K490" i="18"/>
  <c r="K59" i="7941" s="1"/>
  <c r="E306" i="7947"/>
  <c r="K491" i="18"/>
  <c r="K60" i="7941" s="1"/>
  <c r="K499" i="18"/>
  <c r="K68" i="7941" s="1"/>
  <c r="E418" i="7947"/>
  <c r="K643" i="18"/>
  <c r="K642" i="18"/>
  <c r="K658" i="18"/>
  <c r="K650" i="18"/>
  <c r="K634" i="18"/>
  <c r="K646" i="18"/>
  <c r="K645" i="18"/>
  <c r="K651" i="18"/>
  <c r="K661" i="18"/>
  <c r="K656" i="18"/>
  <c r="K641" i="18"/>
  <c r="K660" i="18"/>
  <c r="K530" i="18" s="1"/>
  <c r="K635" i="18"/>
  <c r="K657" i="18"/>
  <c r="K649" i="18"/>
  <c r="K655" i="18"/>
  <c r="K654" i="18"/>
  <c r="K659" i="18"/>
  <c r="K653" i="18"/>
  <c r="K652" i="18"/>
  <c r="K647" i="18"/>
  <c r="L303" i="7942"/>
  <c r="K644" i="18"/>
  <c r="I208" i="7941"/>
  <c r="J16" i="7941"/>
  <c r="L291" i="7942"/>
  <c r="M291" i="7942" s="1"/>
  <c r="L37" i="7944"/>
  <c r="L283" i="7942"/>
  <c r="M283" i="7942" s="1"/>
  <c r="L284" i="7942" s="1"/>
  <c r="J692" i="18"/>
  <c r="J528" i="18" s="1"/>
  <c r="H220" i="7941"/>
  <c r="I28" i="7941"/>
  <c r="K18" i="18"/>
  <c r="K476" i="18" s="1"/>
  <c r="K45" i="7941" s="1"/>
  <c r="L127" i="18"/>
  <c r="K17" i="18"/>
  <c r="K475" i="18" s="1"/>
  <c r="K44" i="7941" s="1"/>
  <c r="L114" i="18"/>
  <c r="K19" i="18"/>
  <c r="K477" i="18" s="1"/>
  <c r="K46" i="7941" s="1"/>
  <c r="L140" i="18"/>
  <c r="K494" i="18"/>
  <c r="K63" i="7941" s="1"/>
  <c r="E348" i="7947"/>
  <c r="E278" i="7947"/>
  <c r="K489" i="18"/>
  <c r="K58" i="7941" s="1"/>
  <c r="L168" i="1"/>
  <c r="L37" i="18" s="1"/>
  <c r="L156" i="1"/>
  <c r="L25" i="18" s="1"/>
  <c r="L154" i="1"/>
  <c r="L23" i="18" s="1"/>
  <c r="L159" i="1"/>
  <c r="L28" i="18" s="1"/>
  <c r="L155" i="1"/>
  <c r="L24" i="18" s="1"/>
  <c r="L153" i="1"/>
  <c r="L22" i="18" s="1"/>
  <c r="L163" i="1"/>
  <c r="L32" i="18" s="1"/>
  <c r="L166" i="1"/>
  <c r="L35" i="18" s="1"/>
  <c r="L172" i="1"/>
  <c r="L41" i="18" s="1"/>
  <c r="L164" i="1"/>
  <c r="L33" i="18" s="1"/>
  <c r="L7" i="18"/>
  <c r="L157" i="1"/>
  <c r="L26" i="18" s="1"/>
  <c r="L165" i="1"/>
  <c r="L34" i="18" s="1"/>
  <c r="L169" i="1"/>
  <c r="L38" i="18" s="1"/>
  <c r="L171" i="1"/>
  <c r="L40" i="18" s="1"/>
  <c r="L170" i="1"/>
  <c r="L39" i="18" s="1"/>
  <c r="L152" i="1"/>
  <c r="L21" i="18" s="1"/>
  <c r="L161" i="1"/>
  <c r="L30" i="18" s="1"/>
  <c r="L158" i="1"/>
  <c r="L27" i="18" s="1"/>
  <c r="L162" i="1"/>
  <c r="L31" i="18" s="1"/>
  <c r="L167" i="1"/>
  <c r="L36" i="18" s="1"/>
  <c r="L160" i="1"/>
  <c r="L29" i="18" s="1"/>
  <c r="L147" i="1"/>
  <c r="L149" i="1"/>
  <c r="L143" i="1"/>
  <c r="L146" i="1"/>
  <c r="L148" i="1"/>
  <c r="L144" i="1"/>
  <c r="L145" i="1"/>
  <c r="L151" i="1"/>
  <c r="L150" i="1"/>
  <c r="K488" i="18"/>
  <c r="K57" i="7941" s="1"/>
  <c r="E264" i="7947"/>
  <c r="E334" i="7947"/>
  <c r="K493" i="18"/>
  <c r="K62" i="7941" s="1"/>
  <c r="K632" i="18"/>
  <c r="K43" i="18"/>
  <c r="O275" i="7942"/>
  <c r="N276" i="7942" s="1"/>
  <c r="J447" i="18"/>
  <c r="N275" i="7942"/>
  <c r="M276" i="7942" s="1"/>
  <c r="E81" i="7947"/>
  <c r="F81" i="7947" s="1"/>
  <c r="L273" i="7942"/>
  <c r="J33" i="7941"/>
  <c r="I225" i="7941"/>
  <c r="L321" i="7942"/>
  <c r="K473" i="18"/>
  <c r="K42" i="7941" s="1"/>
  <c r="E54" i="7947"/>
  <c r="K12" i="18"/>
  <c r="K173" i="1"/>
  <c r="L49" i="18"/>
  <c r="E208" i="7947"/>
  <c r="K484" i="18"/>
  <c r="K53" i="7941" s="1"/>
  <c r="K481" i="18"/>
  <c r="K50" i="7941" s="1"/>
  <c r="E166" i="7947"/>
  <c r="K492" i="18"/>
  <c r="K61" i="7941" s="1"/>
  <c r="E320" i="7947"/>
  <c r="K483" i="18"/>
  <c r="K52" i="7941" s="1"/>
  <c r="E194" i="7947"/>
  <c r="E362" i="7947"/>
  <c r="K495" i="18"/>
  <c r="K64" i="7941" s="1"/>
  <c r="K498" i="18"/>
  <c r="K67" i="7941" s="1"/>
  <c r="E404" i="7947"/>
  <c r="J11" i="18"/>
  <c r="J470" i="18"/>
  <c r="L287" i="7942"/>
  <c r="M273" i="7942"/>
  <c r="L274" i="7942" s="1"/>
  <c r="E11" i="7947"/>
  <c r="F11" i="7947" s="1"/>
  <c r="L319" i="7942"/>
  <c r="J446" i="18"/>
  <c r="J674" i="18" s="1"/>
  <c r="J510" i="18" s="1"/>
  <c r="J79" i="7941" s="1"/>
  <c r="J444" i="18"/>
  <c r="J672" i="18" s="1"/>
  <c r="J508" i="18" s="1"/>
  <c r="J77" i="7941" s="1"/>
  <c r="I211" i="7941"/>
  <c r="J452" i="18"/>
  <c r="J680" i="18" s="1"/>
  <c r="J516" i="18" s="1"/>
  <c r="J85" i="7941" s="1"/>
  <c r="K461" i="18"/>
  <c r="K689" i="18" s="1"/>
  <c r="K525" i="18" s="1"/>
  <c r="K94" i="7941" s="1"/>
  <c r="J64" i="7947"/>
  <c r="I64" i="7947"/>
  <c r="H64" i="7947"/>
  <c r="J442" i="18"/>
  <c r="J693" i="18"/>
  <c r="J529" i="18" s="1"/>
  <c r="J98" i="7941" s="1"/>
  <c r="J226" i="7941" s="1"/>
  <c r="K456" i="18"/>
  <c r="K25" i="7941"/>
  <c r="H92" i="7947"/>
  <c r="I92" i="7947"/>
  <c r="I22" i="7947"/>
  <c r="L22" i="7947"/>
  <c r="J22" i="7947"/>
  <c r="H22" i="7947"/>
  <c r="K22" i="7947"/>
  <c r="L8" i="7947"/>
  <c r="H8" i="7947"/>
  <c r="K8" i="7947"/>
  <c r="I8" i="7947"/>
  <c r="J8" i="7947"/>
  <c r="J688" i="18"/>
  <c r="J524" i="18" s="1"/>
  <c r="J93" i="7941" s="1"/>
  <c r="K29" i="7941" s="1"/>
  <c r="H78" i="7947"/>
  <c r="J107" i="7947"/>
  <c r="L107" i="7947"/>
  <c r="K107" i="7947"/>
  <c r="H107" i="7947"/>
  <c r="I107" i="7947"/>
  <c r="J11" i="7941"/>
  <c r="I205" i="7941"/>
  <c r="J13" i="7941"/>
  <c r="K30" i="7941"/>
  <c r="J222" i="7941"/>
  <c r="J666" i="18"/>
  <c r="J7" i="7941"/>
  <c r="I199" i="7941"/>
  <c r="I213" i="7941"/>
  <c r="J21" i="7941"/>
  <c r="I209" i="7941"/>
  <c r="J17" i="7941"/>
  <c r="J14" i="7941"/>
  <c r="I206" i="7941"/>
  <c r="J682" i="18"/>
  <c r="J518" i="18" s="1"/>
  <c r="J87" i="7941" s="1"/>
  <c r="J215" i="7941" s="1"/>
  <c r="J223" i="7941"/>
  <c r="K31" i="7941"/>
  <c r="H73" i="7941"/>
  <c r="H501" i="18"/>
  <c r="I440" i="18"/>
  <c r="K449" i="18"/>
  <c r="J20" i="7941"/>
  <c r="I212" i="7941"/>
  <c r="J683" i="18"/>
  <c r="J519" i="18" s="1"/>
  <c r="J88" i="7941" s="1"/>
  <c r="J216" i="7941" s="1"/>
  <c r="J228" i="7941"/>
  <c r="K36" i="7941"/>
  <c r="J211" i="7941"/>
  <c r="K19" i="7941"/>
  <c r="J685" i="18"/>
  <c r="J521" i="18" s="1"/>
  <c r="J90" i="7941" s="1"/>
  <c r="K26" i="7941" s="1"/>
  <c r="J443" i="18"/>
  <c r="J448" i="18"/>
  <c r="J445" i="18"/>
  <c r="J451" i="18"/>
  <c r="I207" i="7941"/>
  <c r="J15" i="7941"/>
  <c r="K450" i="18"/>
  <c r="K462" i="18"/>
  <c r="K467" i="18"/>
  <c r="J12" i="7941"/>
  <c r="I204" i="7941"/>
  <c r="L83" i="7944" l="1"/>
  <c r="M19" i="7944" s="1"/>
  <c r="M86" i="7944"/>
  <c r="N22" i="7944"/>
  <c r="L77" i="7944"/>
  <c r="M13" i="7944" s="1"/>
  <c r="M92" i="7944"/>
  <c r="N28" i="7944" s="1"/>
  <c r="L94" i="7944"/>
  <c r="M30" i="7944" s="1"/>
  <c r="L116" i="7942"/>
  <c r="M116" i="7942" s="1"/>
  <c r="L117" i="7942" s="1"/>
  <c r="M164" i="7942"/>
  <c r="L165" i="7942" s="1"/>
  <c r="L85" i="7944"/>
  <c r="M21" i="7944"/>
  <c r="L97" i="7944"/>
  <c r="M33" i="7944" s="1"/>
  <c r="P23" i="7944"/>
  <c r="O87" i="7944"/>
  <c r="L89" i="7944"/>
  <c r="M25" i="7944" s="1"/>
  <c r="L82" i="7944"/>
  <c r="M18" i="7944"/>
  <c r="K74" i="7944"/>
  <c r="L10" i="7944"/>
  <c r="L128" i="7942"/>
  <c r="L120" i="7942"/>
  <c r="L158" i="7942"/>
  <c r="M158" i="7942" s="1"/>
  <c r="I667" i="18"/>
  <c r="I503" i="18" s="1"/>
  <c r="I72" i="7941" s="1"/>
  <c r="J439" i="18"/>
  <c r="H66" i="7947"/>
  <c r="I66" i="7947"/>
  <c r="J66" i="7947"/>
  <c r="L66" i="7947"/>
  <c r="K66" i="7947"/>
  <c r="L277" i="18"/>
  <c r="E246" i="7947"/>
  <c r="E274" i="7947"/>
  <c r="L303" i="18"/>
  <c r="L95" i="18"/>
  <c r="E50" i="7947"/>
  <c r="J93" i="7947"/>
  <c r="I93" i="7947"/>
  <c r="L93" i="7947"/>
  <c r="H93" i="7947"/>
  <c r="M93" i="7947" s="1"/>
  <c r="K93" i="7947"/>
  <c r="L368" i="18"/>
  <c r="E344" i="7947"/>
  <c r="L264" i="18"/>
  <c r="E232" i="7947"/>
  <c r="H23" i="7947"/>
  <c r="L23" i="7947"/>
  <c r="K23" i="7947"/>
  <c r="J23" i="7947"/>
  <c r="I23" i="7947"/>
  <c r="L82" i="18"/>
  <c r="E36" i="7947"/>
  <c r="L329" i="18"/>
  <c r="E302" i="7947"/>
  <c r="L80" i="7944"/>
  <c r="M16" i="7944"/>
  <c r="M120" i="7942"/>
  <c r="L121" i="7942" s="1"/>
  <c r="M12" i="7944"/>
  <c r="L76" i="7944"/>
  <c r="J86" i="7941"/>
  <c r="K453" i="18"/>
  <c r="K681" i="18" s="1"/>
  <c r="K517" i="18" s="1"/>
  <c r="K86" i="7941" s="1"/>
  <c r="L138" i="7942"/>
  <c r="M138" i="7942" s="1"/>
  <c r="M118" i="7942"/>
  <c r="E288" i="7947"/>
  <c r="L316" i="18"/>
  <c r="M213" i="18"/>
  <c r="M138" i="18"/>
  <c r="M304" i="18"/>
  <c r="M174" i="18"/>
  <c r="M395" i="18"/>
  <c r="M135" i="18"/>
  <c r="M187" i="18"/>
  <c r="M96" i="18"/>
  <c r="M265" i="18"/>
  <c r="M83" i="18"/>
  <c r="M139" i="18"/>
  <c r="M111" i="18"/>
  <c r="M46" i="18"/>
  <c r="M61" i="18"/>
  <c r="M126" i="18"/>
  <c r="M125" i="18"/>
  <c r="M109" i="18"/>
  <c r="M252" i="18"/>
  <c r="M291" i="18"/>
  <c r="M317" i="18"/>
  <c r="N3" i="18"/>
  <c r="M49" i="18"/>
  <c r="M114" i="18"/>
  <c r="M356" i="18"/>
  <c r="M278" i="18"/>
  <c r="M421" i="18"/>
  <c r="M239" i="18"/>
  <c r="M161" i="18"/>
  <c r="M57" i="18"/>
  <c r="M44" i="18"/>
  <c r="M153" i="18"/>
  <c r="M137" i="18"/>
  <c r="M124" i="18"/>
  <c r="M151" i="18"/>
  <c r="M113" i="18"/>
  <c r="M60" i="18"/>
  <c r="M62" i="18"/>
  <c r="M99" i="18"/>
  <c r="M112" i="18"/>
  <c r="M148" i="18"/>
  <c r="M382" i="18"/>
  <c r="M343" i="18"/>
  <c r="M330" i="18"/>
  <c r="M369" i="18"/>
  <c r="M122" i="18"/>
  <c r="M226" i="18"/>
  <c r="M152" i="18"/>
  <c r="M101" i="18"/>
  <c r="M59" i="18"/>
  <c r="M150" i="18"/>
  <c r="M98" i="18"/>
  <c r="M100" i="18"/>
  <c r="M48" i="18"/>
  <c r="M200" i="18"/>
  <c r="M408" i="18"/>
  <c r="M70" i="18"/>
  <c r="M140" i="18"/>
  <c r="M47" i="18"/>
  <c r="J9" i="7947"/>
  <c r="K9" i="7947"/>
  <c r="L9" i="7947"/>
  <c r="I9" i="7947"/>
  <c r="H9" i="7947"/>
  <c r="L186" i="18"/>
  <c r="E148" i="7947"/>
  <c r="I80" i="7947"/>
  <c r="L80" i="7947"/>
  <c r="J80" i="7947"/>
  <c r="K80" i="7947"/>
  <c r="H80" i="7947"/>
  <c r="K121" i="7947"/>
  <c r="J121" i="7947"/>
  <c r="H121" i="7947"/>
  <c r="I121" i="7947"/>
  <c r="L121" i="7947"/>
  <c r="L251" i="18"/>
  <c r="E218" i="7947"/>
  <c r="L199" i="18"/>
  <c r="E162" i="7947"/>
  <c r="L381" i="18"/>
  <c r="E358" i="7947"/>
  <c r="E190" i="7947"/>
  <c r="L225" i="18"/>
  <c r="L98" i="7944"/>
  <c r="M34" i="7944" s="1"/>
  <c r="L88" i="7944"/>
  <c r="M24" i="7944"/>
  <c r="L84" i="7944"/>
  <c r="M20" i="7944" s="1"/>
  <c r="L285" i="7942"/>
  <c r="M285" i="7942" s="1"/>
  <c r="L286" i="7942" s="1"/>
  <c r="E316" i="7947"/>
  <c r="L342" i="18"/>
  <c r="I24" i="7947"/>
  <c r="L24" i="7947"/>
  <c r="K24" i="7947"/>
  <c r="J24" i="7947"/>
  <c r="H24" i="7947"/>
  <c r="L290" i="18"/>
  <c r="E260" i="7947"/>
  <c r="L94" i="7947"/>
  <c r="H94" i="7947"/>
  <c r="K94" i="7947"/>
  <c r="J94" i="7947"/>
  <c r="I94" i="7947"/>
  <c r="E372" i="7947"/>
  <c r="L394" i="18"/>
  <c r="L420" i="18"/>
  <c r="L660" i="18" s="1"/>
  <c r="E400" i="7947"/>
  <c r="L433" i="18"/>
  <c r="E414" i="7947"/>
  <c r="H65" i="7947"/>
  <c r="L65" i="7947"/>
  <c r="I65" i="7947"/>
  <c r="J65" i="7947"/>
  <c r="K65" i="7947"/>
  <c r="I122" i="7947"/>
  <c r="H122" i="7947"/>
  <c r="K122" i="7947"/>
  <c r="L122" i="7947"/>
  <c r="J122" i="7947"/>
  <c r="E204" i="7947"/>
  <c r="L238" i="18"/>
  <c r="L75" i="7944"/>
  <c r="M11" i="7944" s="1"/>
  <c r="K99" i="7944"/>
  <c r="L35" i="7944"/>
  <c r="L96" i="7944"/>
  <c r="M32" i="7944"/>
  <c r="L95" i="7944"/>
  <c r="M31" i="7944"/>
  <c r="J73" i="7944"/>
  <c r="J71" i="7944" s="1"/>
  <c r="K9" i="7944"/>
  <c r="J7" i="7944"/>
  <c r="I95" i="7947"/>
  <c r="H95" i="7947"/>
  <c r="L317" i="7942"/>
  <c r="M317" i="7942"/>
  <c r="L318" i="7942" s="1"/>
  <c r="N317" i="7942"/>
  <c r="M318" i="7942" s="1"/>
  <c r="L130" i="7942"/>
  <c r="M130" i="7942"/>
  <c r="L131" i="7942" s="1"/>
  <c r="K112" i="7942"/>
  <c r="M160" i="7942"/>
  <c r="L161" i="7942" s="1"/>
  <c r="H200" i="7941"/>
  <c r="I8" i="7941"/>
  <c r="E134" i="7947"/>
  <c r="L173" i="18"/>
  <c r="K10" i="7947"/>
  <c r="L10" i="7947"/>
  <c r="I10" i="7947"/>
  <c r="J10" i="7947"/>
  <c r="H10" i="7947"/>
  <c r="K79" i="7947"/>
  <c r="H79" i="7947"/>
  <c r="J79" i="7947"/>
  <c r="L79" i="7947"/>
  <c r="I79" i="7947"/>
  <c r="L212" i="18"/>
  <c r="E176" i="7947"/>
  <c r="H108" i="7947"/>
  <c r="J108" i="7947"/>
  <c r="K108" i="7947"/>
  <c r="I108" i="7947"/>
  <c r="L108" i="7947"/>
  <c r="E330" i="7947"/>
  <c r="L355" i="18"/>
  <c r="L655" i="18" s="1"/>
  <c r="L126" i="7942"/>
  <c r="L160" i="7942"/>
  <c r="L112" i="7942"/>
  <c r="L162" i="7942"/>
  <c r="L305" i="7942"/>
  <c r="M305" i="7942" s="1"/>
  <c r="L144" i="7942"/>
  <c r="L142" i="7942"/>
  <c r="L311" i="7942"/>
  <c r="L132" i="7942"/>
  <c r="L122" i="7942"/>
  <c r="L156" i="7942"/>
  <c r="L150" i="7942"/>
  <c r="L136" i="7942"/>
  <c r="L166" i="7942"/>
  <c r="L134" i="7942"/>
  <c r="L140" i="7942"/>
  <c r="L154" i="7942"/>
  <c r="M154" i="7942" s="1"/>
  <c r="L155" i="7942" s="1"/>
  <c r="L108" i="7942"/>
  <c r="M108" i="7942" s="1"/>
  <c r="L297" i="7942"/>
  <c r="M297" i="7942" s="1"/>
  <c r="L295" i="7942"/>
  <c r="M295" i="7942" s="1"/>
  <c r="L281" i="7942"/>
  <c r="M281" i="7942" s="1"/>
  <c r="L282" i="7942" s="1"/>
  <c r="L124" i="7942"/>
  <c r="M124" i="7942" s="1"/>
  <c r="N124" i="7942" s="1"/>
  <c r="M125" i="7942" s="1"/>
  <c r="L271" i="7942"/>
  <c r="M271" i="7942" s="1"/>
  <c r="L272" i="7942" s="1"/>
  <c r="L327" i="7942"/>
  <c r="L299" i="7942"/>
  <c r="M299" i="7942" s="1"/>
  <c r="L300" i="7942" s="1"/>
  <c r="L325" i="7942"/>
  <c r="M325" i="7942" s="1"/>
  <c r="L148" i="7942"/>
  <c r="L315" i="7942"/>
  <c r="M315" i="7942" s="1"/>
  <c r="L289" i="7942"/>
  <c r="M289" i="7942" s="1"/>
  <c r="L290" i="7942" s="1"/>
  <c r="L279" i="7942"/>
  <c r="M279" i="7942" s="1"/>
  <c r="L114" i="7942"/>
  <c r="M114" i="7942" s="1"/>
  <c r="L293" i="7942"/>
  <c r="L110" i="7942"/>
  <c r="L146" i="7942"/>
  <c r="L307" i="7942"/>
  <c r="M307" i="7942" s="1"/>
  <c r="M95" i="7947"/>
  <c r="I67" i="7947"/>
  <c r="L67" i="7947"/>
  <c r="J67" i="7947"/>
  <c r="H67" i="7947"/>
  <c r="K23" i="7941"/>
  <c r="N115" i="18"/>
  <c r="L661" i="18"/>
  <c r="I210" i="7941"/>
  <c r="J18" i="7941"/>
  <c r="K24" i="7941"/>
  <c r="J97" i="7941"/>
  <c r="K464" i="18"/>
  <c r="L647" i="18"/>
  <c r="I220" i="7941"/>
  <c r="J27" i="7941"/>
  <c r="I219" i="7941"/>
  <c r="J458" i="18"/>
  <c r="I202" i="7941"/>
  <c r="J10" i="7941"/>
  <c r="L650" i="18"/>
  <c r="L15" i="18"/>
  <c r="E55" i="7947" s="1"/>
  <c r="N141" i="18"/>
  <c r="N102" i="18"/>
  <c r="L14" i="18"/>
  <c r="L472" i="18" s="1"/>
  <c r="L41" i="7941" s="1"/>
  <c r="K463" i="18"/>
  <c r="K691" i="18" s="1"/>
  <c r="K527" i="18" s="1"/>
  <c r="K96" i="7941" s="1"/>
  <c r="L32" i="7941" s="1"/>
  <c r="M123" i="7947"/>
  <c r="K99" i="7941"/>
  <c r="L466" i="18"/>
  <c r="L694" i="18" s="1"/>
  <c r="L292" i="7942"/>
  <c r="N291" i="7942"/>
  <c r="M292" i="7942" s="1"/>
  <c r="L314" i="7942"/>
  <c r="N313" i="7942"/>
  <c r="M314" i="7942" s="1"/>
  <c r="K33" i="7941"/>
  <c r="J225" i="7941"/>
  <c r="J675" i="18"/>
  <c r="J511" i="18" s="1"/>
  <c r="L115" i="7942"/>
  <c r="L13" i="18"/>
  <c r="M63" i="18"/>
  <c r="L18" i="18"/>
  <c r="M128" i="18"/>
  <c r="E279" i="7947"/>
  <c r="L489" i="18"/>
  <c r="L58" i="7941" s="1"/>
  <c r="E391" i="7947"/>
  <c r="L497" i="18"/>
  <c r="L66" i="7941" s="1"/>
  <c r="L484" i="18"/>
  <c r="L53" i="7941" s="1"/>
  <c r="E209" i="7947"/>
  <c r="E335" i="7947"/>
  <c r="L493" i="18"/>
  <c r="L62" i="7941" s="1"/>
  <c r="E237" i="7947"/>
  <c r="L486" i="18"/>
  <c r="L55" i="7941" s="1"/>
  <c r="E363" i="7947"/>
  <c r="L495" i="18"/>
  <c r="L64" i="7941" s="1"/>
  <c r="N283" i="7942"/>
  <c r="O283" i="7942"/>
  <c r="N284" i="7942" s="1"/>
  <c r="L635" i="18"/>
  <c r="L653" i="18"/>
  <c r="M303" i="7942"/>
  <c r="L304" i="7942" s="1"/>
  <c r="J28" i="7941"/>
  <c r="J227" i="7941"/>
  <c r="K35" i="7941"/>
  <c r="L641" i="18"/>
  <c r="J25" i="7947"/>
  <c r="I25" i="7947"/>
  <c r="K25" i="7947"/>
  <c r="L25" i="7947"/>
  <c r="H25" i="7947"/>
  <c r="E26" i="7947"/>
  <c r="L69" i="18"/>
  <c r="L633" i="18" s="1"/>
  <c r="N277" i="7942"/>
  <c r="N114" i="7942"/>
  <c r="M115" i="7942" s="1"/>
  <c r="E12" i="7947"/>
  <c r="L56" i="18"/>
  <c r="I81" i="7947"/>
  <c r="J81" i="7947"/>
  <c r="L81" i="7947"/>
  <c r="H81" i="7947"/>
  <c r="K81" i="7947"/>
  <c r="N273" i="7942"/>
  <c r="M274" i="7942" s="1"/>
  <c r="L19" i="18"/>
  <c r="M141" i="18"/>
  <c r="L17" i="18"/>
  <c r="M115" i="18"/>
  <c r="L16" i="18"/>
  <c r="M102" i="18"/>
  <c r="L485" i="18"/>
  <c r="L54" i="7941" s="1"/>
  <c r="E223" i="7947"/>
  <c r="E405" i="7947"/>
  <c r="L498" i="18"/>
  <c r="L67" i="7941" s="1"/>
  <c r="S363" i="7941"/>
  <c r="S364" i="7941"/>
  <c r="S365" i="7941"/>
  <c r="S360" i="7941"/>
  <c r="S366" i="7941"/>
  <c r="S361" i="7941"/>
  <c r="S367" i="7941"/>
  <c r="S362" i="7941"/>
  <c r="S359" i="7941"/>
  <c r="L648" i="18"/>
  <c r="L644" i="18"/>
  <c r="L659" i="18"/>
  <c r="E293" i="7947"/>
  <c r="L490" i="18"/>
  <c r="L59" i="7941" s="1"/>
  <c r="L481" i="18"/>
  <c r="L50" i="7941" s="1"/>
  <c r="E167" i="7947"/>
  <c r="E110" i="7947"/>
  <c r="L147" i="18"/>
  <c r="L639" i="18" s="1"/>
  <c r="E96" i="7947"/>
  <c r="L134" i="18"/>
  <c r="L638" i="18" s="1"/>
  <c r="L308" i="7942"/>
  <c r="N307" i="7942"/>
  <c r="O273" i="7942"/>
  <c r="N274" i="7942" s="1"/>
  <c r="L658" i="18"/>
  <c r="L645" i="18"/>
  <c r="K631" i="18"/>
  <c r="J74" i="7941"/>
  <c r="K441" i="18"/>
  <c r="K669" i="18" s="1"/>
  <c r="K505" i="18" s="1"/>
  <c r="K74" i="7941" s="1"/>
  <c r="L652" i="18"/>
  <c r="L649" i="18"/>
  <c r="J109" i="7947"/>
  <c r="K109" i="7947"/>
  <c r="H109" i="7947"/>
  <c r="I109" i="7947"/>
  <c r="L109" i="7947"/>
  <c r="M301" i="7942"/>
  <c r="L302" i="7942" s="1"/>
  <c r="L634" i="18"/>
  <c r="P275" i="7942"/>
  <c r="O276" i="7942" s="1"/>
  <c r="K460" i="18"/>
  <c r="K688" i="18" s="1"/>
  <c r="K524" i="18" s="1"/>
  <c r="K93" i="7941" s="1"/>
  <c r="L29" i="7941" s="1"/>
  <c r="L296" i="7942"/>
  <c r="M287" i="7942"/>
  <c r="L288" i="7942" s="1"/>
  <c r="N287" i="7942"/>
  <c r="M288" i="7942" s="1"/>
  <c r="L316" i="7942"/>
  <c r="N315" i="7942"/>
  <c r="L326" i="7942"/>
  <c r="M321" i="7942"/>
  <c r="N321" i="7942" s="1"/>
  <c r="M322" i="7942" s="1"/>
  <c r="L656" i="18"/>
  <c r="L643" i="18"/>
  <c r="M319" i="7942"/>
  <c r="L320" i="7942" s="1"/>
  <c r="L20" i="18"/>
  <c r="M154" i="18"/>
  <c r="L473" i="18"/>
  <c r="L42" i="7941" s="1"/>
  <c r="E251" i="7947"/>
  <c r="L487" i="18"/>
  <c r="L56" i="7941" s="1"/>
  <c r="E265" i="7947"/>
  <c r="L488" i="18"/>
  <c r="L57" i="7941" s="1"/>
  <c r="E377" i="7947"/>
  <c r="L496" i="18"/>
  <c r="L65" i="7941" s="1"/>
  <c r="L491" i="18"/>
  <c r="L60" i="7941" s="1"/>
  <c r="E307" i="7947"/>
  <c r="L480" i="18"/>
  <c r="L49" i="7941" s="1"/>
  <c r="E153" i="7947"/>
  <c r="M170" i="1"/>
  <c r="M39" i="18" s="1"/>
  <c r="M156" i="1"/>
  <c r="M25" i="18" s="1"/>
  <c r="M167" i="1"/>
  <c r="M36" i="18" s="1"/>
  <c r="M144" i="1"/>
  <c r="M163" i="1"/>
  <c r="M32" i="18" s="1"/>
  <c r="M168" i="1"/>
  <c r="M37" i="18" s="1"/>
  <c r="M147" i="1"/>
  <c r="M157" i="1"/>
  <c r="M26" i="18" s="1"/>
  <c r="M165" i="1"/>
  <c r="M34" i="18" s="1"/>
  <c r="M7" i="18"/>
  <c r="M152" i="1"/>
  <c r="M21" i="18" s="1"/>
  <c r="M149" i="1"/>
  <c r="M154" i="1"/>
  <c r="M23" i="18" s="1"/>
  <c r="M159" i="1"/>
  <c r="M28" i="18" s="1"/>
  <c r="M166" i="1"/>
  <c r="M35" i="18" s="1"/>
  <c r="M171" i="1"/>
  <c r="M40" i="18" s="1"/>
  <c r="M158" i="1"/>
  <c r="M27" i="18" s="1"/>
  <c r="M143" i="1"/>
  <c r="M172" i="1"/>
  <c r="M41" i="18" s="1"/>
  <c r="M169" i="1"/>
  <c r="M38" i="18" s="1"/>
  <c r="M164" i="1"/>
  <c r="M33" i="18" s="1"/>
  <c r="M150" i="1"/>
  <c r="M155" i="1"/>
  <c r="M24" i="18" s="1"/>
  <c r="M160" i="1"/>
  <c r="M29" i="18" s="1"/>
  <c r="M151" i="1"/>
  <c r="M161" i="1"/>
  <c r="M30" i="18" s="1"/>
  <c r="M146" i="1"/>
  <c r="M15" i="18" s="1"/>
  <c r="M162" i="1"/>
  <c r="M31" i="18" s="1"/>
  <c r="M148" i="1"/>
  <c r="M145" i="1"/>
  <c r="M14" i="18" s="1"/>
  <c r="M153" i="1"/>
  <c r="M22" i="18" s="1"/>
  <c r="L646" i="18"/>
  <c r="O313" i="7942"/>
  <c r="N314" i="7942" s="1"/>
  <c r="M309" i="7942"/>
  <c r="L654" i="18"/>
  <c r="E68" i="7947"/>
  <c r="L108" i="18"/>
  <c r="L636" i="18" s="1"/>
  <c r="L152" i="7942"/>
  <c r="K107" i="7942"/>
  <c r="L269" i="7942"/>
  <c r="L268" i="7942" s="1"/>
  <c r="N301" i="7942"/>
  <c r="M302" i="7942" s="1"/>
  <c r="L657" i="18"/>
  <c r="N325" i="7942"/>
  <c r="L11" i="7947"/>
  <c r="I11" i="7947"/>
  <c r="K11" i="7947"/>
  <c r="J11" i="7947"/>
  <c r="H11" i="7947"/>
  <c r="J39" i="7941"/>
  <c r="J38" i="7941" s="1"/>
  <c r="J469" i="18"/>
  <c r="K470" i="18"/>
  <c r="K11" i="18"/>
  <c r="Q275" i="7942"/>
  <c r="E41" i="7947"/>
  <c r="L12" i="18"/>
  <c r="L173" i="1"/>
  <c r="M50" i="18"/>
  <c r="L494" i="18"/>
  <c r="L63" i="7941" s="1"/>
  <c r="E349" i="7947"/>
  <c r="L479" i="18"/>
  <c r="L48" i="7941" s="1"/>
  <c r="E139" i="7947"/>
  <c r="E321" i="7947"/>
  <c r="L492" i="18"/>
  <c r="L61" i="7941" s="1"/>
  <c r="E419" i="7947"/>
  <c r="L499" i="18"/>
  <c r="L68" i="7941" s="1"/>
  <c r="L482" i="18"/>
  <c r="L51" i="7941" s="1"/>
  <c r="E181" i="7947"/>
  <c r="L483" i="18"/>
  <c r="L52" i="7941" s="1"/>
  <c r="E195" i="7947"/>
  <c r="E82" i="7947"/>
  <c r="L121" i="18"/>
  <c r="L637" i="18" s="1"/>
  <c r="M37" i="7944"/>
  <c r="N303" i="7942"/>
  <c r="E124" i="7947"/>
  <c r="L160" i="18"/>
  <c r="L640" i="18" s="1"/>
  <c r="J459" i="18"/>
  <c r="N323" i="7942"/>
  <c r="O277" i="7942"/>
  <c r="N278" i="7942" s="1"/>
  <c r="L651" i="18"/>
  <c r="O287" i="7942"/>
  <c r="N288" i="7942" s="1"/>
  <c r="L642" i="18"/>
  <c r="N271" i="7942"/>
  <c r="N299" i="7942"/>
  <c r="L125" i="7942"/>
  <c r="O124" i="7942"/>
  <c r="N125" i="7942" s="1"/>
  <c r="L463" i="18"/>
  <c r="K455" i="18"/>
  <c r="K683" i="18" s="1"/>
  <c r="K519" i="18" s="1"/>
  <c r="K88" i="7941" s="1"/>
  <c r="L24" i="7941" s="1"/>
  <c r="K452" i="18"/>
  <c r="K444" i="18"/>
  <c r="K672" i="18" s="1"/>
  <c r="K508" i="18" s="1"/>
  <c r="K77" i="7941" s="1"/>
  <c r="L453" i="18"/>
  <c r="L681" i="18" s="1"/>
  <c r="L517" i="18" s="1"/>
  <c r="L86" i="7941" s="1"/>
  <c r="K454" i="18"/>
  <c r="K682" i="18" s="1"/>
  <c r="K518" i="18" s="1"/>
  <c r="K87" i="7941" s="1"/>
  <c r="K215" i="7941" s="1"/>
  <c r="K446" i="18"/>
  <c r="J221" i="7941"/>
  <c r="M107" i="7947"/>
  <c r="M92" i="7947"/>
  <c r="K465" i="18"/>
  <c r="J670" i="18"/>
  <c r="J506" i="18" s="1"/>
  <c r="J75" i="7941" s="1"/>
  <c r="K11" i="7941" s="1"/>
  <c r="K34" i="7941"/>
  <c r="K684" i="18"/>
  <c r="K520" i="18" s="1"/>
  <c r="K89" i="7941" s="1"/>
  <c r="K217" i="7941" s="1"/>
  <c r="K678" i="18"/>
  <c r="K514" i="18" s="1"/>
  <c r="K83" i="7941" s="1"/>
  <c r="L19" i="7941" s="1"/>
  <c r="J679" i="18"/>
  <c r="J515" i="18" s="1"/>
  <c r="J84" i="7941" s="1"/>
  <c r="J212" i="7941" s="1"/>
  <c r="K680" i="18"/>
  <c r="K516" i="18" s="1"/>
  <c r="K85" i="7941" s="1"/>
  <c r="K224" i="7941"/>
  <c r="K674" i="18"/>
  <c r="K510" i="18" s="1"/>
  <c r="K79" i="7941" s="1"/>
  <c r="J213" i="7941"/>
  <c r="K21" i="7941"/>
  <c r="J502" i="18"/>
  <c r="J218" i="7941"/>
  <c r="J205" i="7941"/>
  <c r="K13" i="7941"/>
  <c r="K695" i="18"/>
  <c r="K531" i="18" s="1"/>
  <c r="K100" i="7941" s="1"/>
  <c r="K228" i="7941" s="1"/>
  <c r="K15" i="7941"/>
  <c r="J207" i="7941"/>
  <c r="J676" i="18"/>
  <c r="J512" i="18" s="1"/>
  <c r="J81" i="7941" s="1"/>
  <c r="K17" i="7941" s="1"/>
  <c r="L691" i="18"/>
  <c r="L527" i="18" s="1"/>
  <c r="L96" i="7941" s="1"/>
  <c r="L224" i="7941" s="1"/>
  <c r="K690" i="18"/>
  <c r="K526" i="18" s="1"/>
  <c r="K95" i="7941" s="1"/>
  <c r="L31" i="7941" s="1"/>
  <c r="J673" i="18"/>
  <c r="J509" i="18" s="1"/>
  <c r="J78" i="7941" s="1"/>
  <c r="K14" i="7941" s="1"/>
  <c r="J671" i="18"/>
  <c r="J507" i="18" s="1"/>
  <c r="J76" i="7941" s="1"/>
  <c r="J204" i="7941" s="1"/>
  <c r="K457" i="18"/>
  <c r="K20" i="7941"/>
  <c r="K677" i="18"/>
  <c r="K513" i="18" s="1"/>
  <c r="K82" i="7941" s="1"/>
  <c r="L441" i="18"/>
  <c r="I437" i="18"/>
  <c r="I668" i="18"/>
  <c r="H70" i="7941"/>
  <c r="I9" i="7941"/>
  <c r="H201" i="7941"/>
  <c r="H198" i="7941" s="1"/>
  <c r="L461" i="18"/>
  <c r="K222" i="7941"/>
  <c r="L30" i="7941"/>
  <c r="L280" i="7942" l="1"/>
  <c r="L139" i="7942"/>
  <c r="N138" i="7942"/>
  <c r="M139" i="7942" s="1"/>
  <c r="N108" i="7942"/>
  <c r="M109" i="7942" s="1"/>
  <c r="L109" i="7942"/>
  <c r="M84" i="7944"/>
  <c r="N20" i="7944" s="1"/>
  <c r="M98" i="7944"/>
  <c r="N34" i="7944" s="1"/>
  <c r="L159" i="7942"/>
  <c r="N158" i="7942"/>
  <c r="M159" i="7942" s="1"/>
  <c r="M97" i="7944"/>
  <c r="N33" i="7944" s="1"/>
  <c r="E29" i="7948"/>
  <c r="F11" i="7948" s="1"/>
  <c r="M11" i="7952" s="1"/>
  <c r="N92" i="7944"/>
  <c r="O28" i="7944" s="1"/>
  <c r="L306" i="7942"/>
  <c r="M75" i="7944"/>
  <c r="N11" i="7944" s="1"/>
  <c r="L298" i="7942"/>
  <c r="N297" i="7942"/>
  <c r="M298" i="7942" s="1"/>
  <c r="M89" i="7944"/>
  <c r="N25" i="7944"/>
  <c r="M83" i="7944"/>
  <c r="N19" i="7944" s="1"/>
  <c r="N30" i="7944"/>
  <c r="M94" i="7944"/>
  <c r="M77" i="7944"/>
  <c r="N13" i="7944" s="1"/>
  <c r="N293" i="7942"/>
  <c r="M294" i="7942" s="1"/>
  <c r="M293" i="7942"/>
  <c r="M140" i="7942"/>
  <c r="M150" i="7942"/>
  <c r="N150" i="7942" s="1"/>
  <c r="N130" i="7942"/>
  <c r="M136" i="7942"/>
  <c r="I36" i="7947"/>
  <c r="I47" i="7947" s="1"/>
  <c r="H36" i="7947"/>
  <c r="H47" i="7947" s="1"/>
  <c r="H50" i="7947"/>
  <c r="H61" i="7947" s="1"/>
  <c r="J50" i="7947"/>
  <c r="J61" i="7947" s="1"/>
  <c r="L50" i="7947"/>
  <c r="L61" i="7947" s="1"/>
  <c r="I50" i="7947"/>
  <c r="I61" i="7947" s="1"/>
  <c r="K50" i="7947"/>
  <c r="K61" i="7947" s="1"/>
  <c r="M128" i="7942"/>
  <c r="Q23" i="7944"/>
  <c r="P87" i="7944"/>
  <c r="N86" i="7944"/>
  <c r="O22" i="7944" s="1"/>
  <c r="L530" i="18"/>
  <c r="L99" i="7941" s="1"/>
  <c r="M148" i="7942"/>
  <c r="N148" i="7942"/>
  <c r="M149" i="7942" s="1"/>
  <c r="O297" i="7942"/>
  <c r="N298" i="7942" s="1"/>
  <c r="M134" i="7942"/>
  <c r="M142" i="7942"/>
  <c r="L143" i="7942" s="1"/>
  <c r="M108" i="7947"/>
  <c r="J8" i="7941"/>
  <c r="I200" i="7941"/>
  <c r="N160" i="7942"/>
  <c r="M311" i="7942"/>
  <c r="N311" i="7942" s="1"/>
  <c r="N32" i="7944"/>
  <c r="M96" i="7944"/>
  <c r="M162" i="7942"/>
  <c r="L163" i="7942" s="1"/>
  <c r="N142" i="7942"/>
  <c r="M143" i="7942" s="1"/>
  <c r="N285" i="7942"/>
  <c r="M286" i="7942" s="1"/>
  <c r="N134" i="7942"/>
  <c r="M135" i="7942" s="1"/>
  <c r="M80" i="7944"/>
  <c r="N16" i="7944" s="1"/>
  <c r="N120" i="7942"/>
  <c r="M121" i="7942" s="1"/>
  <c r="M82" i="7944"/>
  <c r="N18" i="7944" s="1"/>
  <c r="M85" i="7944"/>
  <c r="N21" i="7944" s="1"/>
  <c r="E28" i="7948"/>
  <c r="F9" i="7948" s="1"/>
  <c r="M9" i="7952" s="1"/>
  <c r="M466" i="18"/>
  <c r="M694" i="18" s="1"/>
  <c r="M269" i="7942"/>
  <c r="O301" i="7942"/>
  <c r="N302" i="7942" s="1"/>
  <c r="N295" i="7942"/>
  <c r="N281" i="7942"/>
  <c r="O291" i="7942"/>
  <c r="M146" i="7942"/>
  <c r="N146" i="7942"/>
  <c r="M147" i="7942" s="1"/>
  <c r="N279" i="7942"/>
  <c r="M280" i="7942" s="1"/>
  <c r="O279" i="7942"/>
  <c r="N280" i="7942" s="1"/>
  <c r="O108" i="7942"/>
  <c r="N109" i="7942" s="1"/>
  <c r="M166" i="7942"/>
  <c r="M122" i="7942"/>
  <c r="O317" i="7942"/>
  <c r="M122" i="7947"/>
  <c r="M94" i="7947"/>
  <c r="M144" i="7942"/>
  <c r="M121" i="7947"/>
  <c r="N226" i="18"/>
  <c r="N187" i="18"/>
  <c r="N304" i="18"/>
  <c r="N421" i="18"/>
  <c r="N161" i="18"/>
  <c r="N395" i="18"/>
  <c r="O3" i="18"/>
  <c r="N44" i="18"/>
  <c r="N138" i="18"/>
  <c r="N100" i="18"/>
  <c r="N47" i="18"/>
  <c r="N154" i="18"/>
  <c r="N137" i="18"/>
  <c r="N111" i="18"/>
  <c r="N99" i="18"/>
  <c r="N50" i="18"/>
  <c r="N135" i="18"/>
  <c r="N98" i="18"/>
  <c r="N126" i="18"/>
  <c r="N200" i="18"/>
  <c r="N213" i="18"/>
  <c r="N174" i="18"/>
  <c r="N369" i="18"/>
  <c r="N265" i="18"/>
  <c r="N96" i="18"/>
  <c r="N57" i="18"/>
  <c r="N153" i="18"/>
  <c r="N61" i="18"/>
  <c r="N112" i="18"/>
  <c r="N46" i="18"/>
  <c r="N152" i="18"/>
  <c r="N101" i="18"/>
  <c r="N127" i="18"/>
  <c r="N62" i="18"/>
  <c r="N70" i="18"/>
  <c r="N148" i="18"/>
  <c r="N278" i="18"/>
  <c r="N382" i="18"/>
  <c r="N59" i="18"/>
  <c r="N124" i="18"/>
  <c r="N252" i="18"/>
  <c r="N356" i="18"/>
  <c r="N291" i="18"/>
  <c r="N343" i="18"/>
  <c r="N330" i="18"/>
  <c r="N122" i="18"/>
  <c r="N83" i="18"/>
  <c r="N150" i="18"/>
  <c r="N113" i="18"/>
  <c r="N125" i="18"/>
  <c r="N128" i="18"/>
  <c r="N151" i="18"/>
  <c r="N114" i="18"/>
  <c r="N60" i="18"/>
  <c r="N49" i="18"/>
  <c r="N109" i="18"/>
  <c r="N239" i="18"/>
  <c r="N139" i="18"/>
  <c r="N140" i="18"/>
  <c r="N48" i="18"/>
  <c r="N317" i="18"/>
  <c r="N408" i="18"/>
  <c r="N63" i="18"/>
  <c r="N118" i="7942"/>
  <c r="M119" i="7942" s="1"/>
  <c r="L119" i="7942"/>
  <c r="O134" i="7942"/>
  <c r="N135" i="7942" s="1"/>
  <c r="M327" i="7942"/>
  <c r="M110" i="7942"/>
  <c r="N289" i="7942"/>
  <c r="M290" i="7942" s="1"/>
  <c r="N154" i="7942"/>
  <c r="M155" i="7942" s="1"/>
  <c r="M132" i="7942"/>
  <c r="N132" i="7942"/>
  <c r="M133" i="7942" s="1"/>
  <c r="N305" i="7942"/>
  <c r="M306" i="7942" s="1"/>
  <c r="M126" i="7942"/>
  <c r="N126" i="7942"/>
  <c r="M127" i="7942" s="1"/>
  <c r="K73" i="7944"/>
  <c r="K71" i="7944" s="1"/>
  <c r="K7" i="7944"/>
  <c r="M95" i="7944"/>
  <c r="N31" i="7944" s="1"/>
  <c r="L99" i="7944"/>
  <c r="M35" i="7944"/>
  <c r="O132" i="7942"/>
  <c r="N133" i="7942" s="1"/>
  <c r="O142" i="7942"/>
  <c r="N143" i="7942" s="1"/>
  <c r="P285" i="7942"/>
  <c r="O286" i="7942" s="1"/>
  <c r="Q285" i="7942"/>
  <c r="O285" i="7942"/>
  <c r="N286" i="7942" s="1"/>
  <c r="M88" i="7944"/>
  <c r="N24" i="7944" s="1"/>
  <c r="E30" i="7948"/>
  <c r="F12" i="7948" s="1"/>
  <c r="M12" i="7952" s="1"/>
  <c r="O138" i="7942"/>
  <c r="N139" i="7942" s="1"/>
  <c r="M156" i="7942"/>
  <c r="L157" i="7942" s="1"/>
  <c r="K22" i="7941"/>
  <c r="J214" i="7941"/>
  <c r="M76" i="7944"/>
  <c r="N12" i="7944"/>
  <c r="J667" i="18"/>
  <c r="J503" i="18" s="1"/>
  <c r="J72" i="7941" s="1"/>
  <c r="K439" i="18"/>
  <c r="O158" i="7942"/>
  <c r="N159" i="7942" s="1"/>
  <c r="O126" i="7942"/>
  <c r="N127" i="7942" s="1"/>
  <c r="L74" i="7944"/>
  <c r="M10" i="7944" s="1"/>
  <c r="M112" i="7942"/>
  <c r="N112" i="7942" s="1"/>
  <c r="M113" i="7942" s="1"/>
  <c r="N164" i="7942"/>
  <c r="N116" i="7942"/>
  <c r="K18" i="7941"/>
  <c r="K210" i="7941" s="1"/>
  <c r="J210" i="7941"/>
  <c r="K216" i="7941"/>
  <c r="J80" i="7941"/>
  <c r="K447" i="18"/>
  <c r="J686" i="18"/>
  <c r="J522" i="18" s="1"/>
  <c r="J91" i="7941" s="1"/>
  <c r="K692" i="18"/>
  <c r="K528" i="18" s="1"/>
  <c r="K97" i="7941" s="1"/>
  <c r="K225" i="7941" s="1"/>
  <c r="L464" i="18"/>
  <c r="L692" i="18" s="1"/>
  <c r="L528" i="18" s="1"/>
  <c r="L97" i="7941" s="1"/>
  <c r="K27" i="7941"/>
  <c r="J219" i="7941"/>
  <c r="M300" i="7942"/>
  <c r="O299" i="7942"/>
  <c r="N300" i="7942" s="1"/>
  <c r="M268" i="7942"/>
  <c r="L329" i="7942" s="1"/>
  <c r="L270" i="7942"/>
  <c r="F124" i="7947"/>
  <c r="F82" i="7947"/>
  <c r="P276" i="7942"/>
  <c r="Q276" i="7942"/>
  <c r="Q330" i="7941" s="1"/>
  <c r="M326" i="7942"/>
  <c r="O325" i="7942"/>
  <c r="N326" i="7942" s="1"/>
  <c r="M152" i="7942"/>
  <c r="N152" i="7942" s="1"/>
  <c r="O152" i="7942" s="1"/>
  <c r="N153" i="7942" s="1"/>
  <c r="L107" i="7942"/>
  <c r="L310" i="7942"/>
  <c r="E154" i="7947"/>
  <c r="M480" i="18"/>
  <c r="M49" i="7941" s="1"/>
  <c r="M473" i="18"/>
  <c r="M42" i="7941" s="1"/>
  <c r="E56" i="7947"/>
  <c r="E182" i="7947"/>
  <c r="M482" i="18"/>
  <c r="M51" i="7941" s="1"/>
  <c r="E420" i="7947"/>
  <c r="M499" i="18"/>
  <c r="M68" i="7941" s="1"/>
  <c r="E336" i="7947"/>
  <c r="M493" i="18"/>
  <c r="M62" i="7941" s="1"/>
  <c r="M479" i="18"/>
  <c r="M48" i="7941" s="1"/>
  <c r="E140" i="7947"/>
  <c r="M16" i="18"/>
  <c r="N103" i="18"/>
  <c r="E350" i="7947"/>
  <c r="M494" i="18"/>
  <c r="M63" i="7941" s="1"/>
  <c r="L322" i="7942"/>
  <c r="O321" i="7942"/>
  <c r="M316" i="7942"/>
  <c r="O315" i="7942"/>
  <c r="K10" i="7941"/>
  <c r="L10" i="7941" s="1"/>
  <c r="J202" i="7941"/>
  <c r="F110" i="7947"/>
  <c r="S358" i="7941"/>
  <c r="E83" i="7947"/>
  <c r="F83" i="7947" s="1"/>
  <c r="L475" i="18"/>
  <c r="L44" i="7941" s="1"/>
  <c r="N319" i="7942"/>
  <c r="E97" i="7947"/>
  <c r="F97" i="7947" s="1"/>
  <c r="L476" i="18"/>
  <c r="L45" i="7941" s="1"/>
  <c r="P301" i="7942"/>
  <c r="O302" i="7942" s="1"/>
  <c r="M272" i="7942"/>
  <c r="O271" i="7942"/>
  <c r="N272" i="7942" s="1"/>
  <c r="M304" i="7942"/>
  <c r="O303" i="7942"/>
  <c r="N304" i="7942" s="1"/>
  <c r="K39" i="7941"/>
  <c r="K38" i="7941" s="1"/>
  <c r="K469" i="18"/>
  <c r="M296" i="7942"/>
  <c r="F68" i="7947"/>
  <c r="E42" i="7947"/>
  <c r="M472" i="18"/>
  <c r="M41" i="7941" s="1"/>
  <c r="E266" i="7947"/>
  <c r="M488" i="18"/>
  <c r="M57" i="7941" s="1"/>
  <c r="M19" i="18"/>
  <c r="N142" i="18"/>
  <c r="M173" i="1"/>
  <c r="M12" i="18"/>
  <c r="N51" i="18"/>
  <c r="E238" i="7947"/>
  <c r="M486" i="18"/>
  <c r="M55" i="7941" s="1"/>
  <c r="M495" i="18"/>
  <c r="M64" i="7941" s="1"/>
  <c r="E364" i="7947"/>
  <c r="E196" i="7947"/>
  <c r="M483" i="18"/>
  <c r="M52" i="7941" s="1"/>
  <c r="L478" i="18"/>
  <c r="L47" i="7941" s="1"/>
  <c r="E125" i="7947"/>
  <c r="F125" i="7947" s="1"/>
  <c r="N269" i="7942"/>
  <c r="M109" i="7947"/>
  <c r="P303" i="7942"/>
  <c r="O304" i="7942" s="1"/>
  <c r="L632" i="18"/>
  <c r="L631" i="18" s="1"/>
  <c r="L43" i="18"/>
  <c r="M278" i="7942"/>
  <c r="Q277" i="7942"/>
  <c r="P277" i="7942"/>
  <c r="O278" i="7942" s="1"/>
  <c r="K227" i="7941"/>
  <c r="L35" i="7941"/>
  <c r="L227" i="7941" s="1"/>
  <c r="Q303" i="7942"/>
  <c r="K675" i="18"/>
  <c r="K511" i="18" s="1"/>
  <c r="K80" i="7941" s="1"/>
  <c r="P313" i="7942"/>
  <c r="O314" i="7942" s="1"/>
  <c r="P287" i="7942"/>
  <c r="O288" i="7942" s="1"/>
  <c r="M324" i="7942"/>
  <c r="O323" i="7942"/>
  <c r="J687" i="18"/>
  <c r="J523" i="18" s="1"/>
  <c r="J92" i="7941" s="1"/>
  <c r="J220" i="7941" s="1"/>
  <c r="N37" i="7944"/>
  <c r="M282" i="7942"/>
  <c r="O281" i="7942"/>
  <c r="M17" i="18"/>
  <c r="N116" i="18"/>
  <c r="M20" i="18"/>
  <c r="N155" i="18"/>
  <c r="E308" i="7947"/>
  <c r="M491" i="18"/>
  <c r="M60" i="7941" s="1"/>
  <c r="E224" i="7947"/>
  <c r="M485" i="18"/>
  <c r="M54" i="7941" s="1"/>
  <c r="E168" i="7947"/>
  <c r="M481" i="18"/>
  <c r="M50" i="7941" s="1"/>
  <c r="M492" i="18"/>
  <c r="M61" i="7941" s="1"/>
  <c r="E322" i="7947"/>
  <c r="E294" i="7947"/>
  <c r="M490" i="18"/>
  <c r="M59" i="7941" s="1"/>
  <c r="N148" i="1"/>
  <c r="N162" i="1"/>
  <c r="N31" i="18" s="1"/>
  <c r="N172" i="1"/>
  <c r="N41" i="18" s="1"/>
  <c r="N155" i="1"/>
  <c r="N24" i="18" s="1"/>
  <c r="N158" i="1"/>
  <c r="N27" i="18" s="1"/>
  <c r="N156" i="1"/>
  <c r="N25" i="18" s="1"/>
  <c r="N171" i="1"/>
  <c r="N40" i="18" s="1"/>
  <c r="N166" i="1"/>
  <c r="N35" i="18" s="1"/>
  <c r="N167" i="1"/>
  <c r="N36" i="18" s="1"/>
  <c r="N165" i="1"/>
  <c r="N34" i="18" s="1"/>
  <c r="N151" i="1"/>
  <c r="N146" i="1"/>
  <c r="N15" i="18" s="1"/>
  <c r="N147" i="1"/>
  <c r="N154" i="1"/>
  <c r="N23" i="18" s="1"/>
  <c r="N153" i="1"/>
  <c r="N22" i="18" s="1"/>
  <c r="N161" i="1"/>
  <c r="N30" i="18" s="1"/>
  <c r="N143" i="1"/>
  <c r="N170" i="1"/>
  <c r="N39" i="18" s="1"/>
  <c r="N144" i="1"/>
  <c r="N160" i="1"/>
  <c r="N29" i="18" s="1"/>
  <c r="N7" i="18"/>
  <c r="N152" i="1"/>
  <c r="N21" i="18" s="1"/>
  <c r="N150" i="1"/>
  <c r="N164" i="1"/>
  <c r="N33" i="18" s="1"/>
  <c r="N157" i="1"/>
  <c r="N26" i="18" s="1"/>
  <c r="N163" i="1"/>
  <c r="N32" i="18" s="1"/>
  <c r="N168" i="1"/>
  <c r="N37" i="18" s="1"/>
  <c r="N159" i="1"/>
  <c r="N28" i="18" s="1"/>
  <c r="N149" i="1"/>
  <c r="N169" i="1"/>
  <c r="N38" i="18" s="1"/>
  <c r="N145" i="1"/>
  <c r="N14" i="18" s="1"/>
  <c r="O295" i="7942"/>
  <c r="F96" i="7947"/>
  <c r="E69" i="7947"/>
  <c r="F69" i="7947" s="1"/>
  <c r="L474" i="18"/>
  <c r="L43" i="7941" s="1"/>
  <c r="L477" i="18"/>
  <c r="L46" i="7941" s="1"/>
  <c r="E111" i="7947"/>
  <c r="F111" i="7947" s="1"/>
  <c r="F12" i="7947"/>
  <c r="P273" i="7942"/>
  <c r="F26" i="7947"/>
  <c r="E27" i="7947"/>
  <c r="F27" i="7947" s="1"/>
  <c r="L471" i="18"/>
  <c r="L40" i="7941" s="1"/>
  <c r="N309" i="7942"/>
  <c r="L11" i="18"/>
  <c r="L470" i="18"/>
  <c r="E13" i="7947"/>
  <c r="F13" i="7947" s="1"/>
  <c r="M489" i="18"/>
  <c r="M58" i="7941" s="1"/>
  <c r="E280" i="7947"/>
  <c r="M487" i="18"/>
  <c r="M56" i="7941" s="1"/>
  <c r="E252" i="7947"/>
  <c r="E378" i="7947"/>
  <c r="M496" i="18"/>
  <c r="M65" i="7941" s="1"/>
  <c r="M498" i="18"/>
  <c r="M67" i="7941" s="1"/>
  <c r="E406" i="7947"/>
  <c r="M18" i="18"/>
  <c r="N129" i="18"/>
  <c r="E210" i="7947"/>
  <c r="M484" i="18"/>
  <c r="M53" i="7941" s="1"/>
  <c r="M13" i="18"/>
  <c r="N64" i="18"/>
  <c r="E392" i="7947"/>
  <c r="M497" i="18"/>
  <c r="M66" i="7941" s="1"/>
  <c r="K202" i="7941"/>
  <c r="M308" i="7942"/>
  <c r="M284" i="7942"/>
  <c r="P283" i="7942"/>
  <c r="O114" i="7942"/>
  <c r="O307" i="7942"/>
  <c r="K211" i="7941"/>
  <c r="P124" i="7942"/>
  <c r="L23" i="7941"/>
  <c r="K442" i="18"/>
  <c r="K670" i="18" s="1"/>
  <c r="K506" i="18" s="1"/>
  <c r="K75" i="7941" s="1"/>
  <c r="K203" i="7941" s="1"/>
  <c r="L36" i="7941"/>
  <c r="J206" i="7941"/>
  <c r="L462" i="18"/>
  <c r="L690" i="18" s="1"/>
  <c r="L526" i="18" s="1"/>
  <c r="L95" i="7941" s="1"/>
  <c r="L223" i="7941" s="1"/>
  <c r="L454" i="18"/>
  <c r="L682" i="18" s="1"/>
  <c r="L518" i="18" s="1"/>
  <c r="L87" i="7941" s="1"/>
  <c r="L460" i="18"/>
  <c r="K221" i="7941"/>
  <c r="K12" i="7941"/>
  <c r="K693" i="18"/>
  <c r="K529" i="18" s="1"/>
  <c r="K98" i="7941" s="1"/>
  <c r="K226" i="7941" s="1"/>
  <c r="L25" i="7941"/>
  <c r="J203" i="7941"/>
  <c r="K443" i="18"/>
  <c r="M463" i="18"/>
  <c r="M691" i="18" s="1"/>
  <c r="K448" i="18"/>
  <c r="K676" i="18" s="1"/>
  <c r="K512" i="18" s="1"/>
  <c r="K81" i="7941" s="1"/>
  <c r="L17" i="7941" s="1"/>
  <c r="L467" i="18"/>
  <c r="L695" i="18" s="1"/>
  <c r="L531" i="18" s="1"/>
  <c r="L100" i="7941" s="1"/>
  <c r="L228" i="7941" s="1"/>
  <c r="J209" i="7941"/>
  <c r="L452" i="18"/>
  <c r="L680" i="18" s="1"/>
  <c r="L516" i="18" s="1"/>
  <c r="L85" i="7941" s="1"/>
  <c r="L455" i="18"/>
  <c r="L683" i="18" s="1"/>
  <c r="L519" i="18" s="1"/>
  <c r="L88" i="7941" s="1"/>
  <c r="L216" i="7941" s="1"/>
  <c r="L456" i="18"/>
  <c r="L688" i="18"/>
  <c r="L524" i="18" s="1"/>
  <c r="L93" i="7941" s="1"/>
  <c r="L221" i="7941" s="1"/>
  <c r="L669" i="18"/>
  <c r="L505" i="18" s="1"/>
  <c r="L74" i="7941" s="1"/>
  <c r="L202" i="7941" s="1"/>
  <c r="K671" i="18"/>
  <c r="K507" i="18" s="1"/>
  <c r="K76" i="7941" s="1"/>
  <c r="K205" i="7941"/>
  <c r="L13" i="7941"/>
  <c r="K223" i="7941"/>
  <c r="I504" i="18"/>
  <c r="I665" i="18"/>
  <c r="L689" i="18"/>
  <c r="L525" i="18" s="1"/>
  <c r="L94" i="7941" s="1"/>
  <c r="L222" i="7941" s="1"/>
  <c r="I6" i="7941"/>
  <c r="L449" i="18"/>
  <c r="K685" i="18"/>
  <c r="K521" i="18" s="1"/>
  <c r="K90" i="7941" s="1"/>
  <c r="K445" i="18"/>
  <c r="K207" i="7941"/>
  <c r="L15" i="7941"/>
  <c r="J71" i="7941"/>
  <c r="K438" i="18"/>
  <c r="L21" i="7941"/>
  <c r="K213" i="7941"/>
  <c r="L446" i="18"/>
  <c r="M453" i="18"/>
  <c r="M681" i="18" s="1"/>
  <c r="L444" i="18"/>
  <c r="K451" i="18"/>
  <c r="L450" i="18"/>
  <c r="N95" i="7944" l="1"/>
  <c r="O31" i="7944"/>
  <c r="N85" i="7944"/>
  <c r="O21" i="7944" s="1"/>
  <c r="M312" i="7942"/>
  <c r="N77" i="7944"/>
  <c r="O13" i="7944" s="1"/>
  <c r="N83" i="7944"/>
  <c r="O19" i="7944" s="1"/>
  <c r="N75" i="7944"/>
  <c r="O11" i="7944" s="1"/>
  <c r="O33" i="7944"/>
  <c r="N97" i="7944"/>
  <c r="N84" i="7944"/>
  <c r="O20" i="7944" s="1"/>
  <c r="N82" i="7944"/>
  <c r="O18" i="7944" s="1"/>
  <c r="O16" i="7944"/>
  <c r="N80" i="7944"/>
  <c r="O86" i="7944"/>
  <c r="P22" i="7944" s="1"/>
  <c r="O92" i="7944"/>
  <c r="P28" i="7944" s="1"/>
  <c r="N88" i="7944"/>
  <c r="O24" i="7944"/>
  <c r="E22" i="7948"/>
  <c r="M74" i="7944"/>
  <c r="N10" i="7944"/>
  <c r="M151" i="7942"/>
  <c r="N98" i="7944"/>
  <c r="O34" i="7944" s="1"/>
  <c r="Q313" i="7942"/>
  <c r="K667" i="18"/>
  <c r="K503" i="18" s="1"/>
  <c r="K72" i="7941" s="1"/>
  <c r="L439" i="18"/>
  <c r="M99" i="7944"/>
  <c r="N35" i="7944"/>
  <c r="P126" i="7942"/>
  <c r="O127" i="7942" s="1"/>
  <c r="L133" i="7942"/>
  <c r="N144" i="7942"/>
  <c r="M145" i="7942" s="1"/>
  <c r="L145" i="7942"/>
  <c r="O146" i="7942"/>
  <c r="L147" i="7942"/>
  <c r="N292" i="7942"/>
  <c r="P291" i="7942"/>
  <c r="O292" i="7942" s="1"/>
  <c r="Q291" i="7942"/>
  <c r="O120" i="7942"/>
  <c r="P154" i="7942"/>
  <c r="O155" i="7942" s="1"/>
  <c r="L149" i="7942"/>
  <c r="O148" i="7942"/>
  <c r="M131" i="7942"/>
  <c r="P130" i="7942"/>
  <c r="O131" i="7942" s="1"/>
  <c r="O130" i="7942"/>
  <c r="N131" i="7942" s="1"/>
  <c r="N162" i="7942"/>
  <c r="E31" i="7948"/>
  <c r="F13" i="7948" s="1"/>
  <c r="M13" i="7952" s="1"/>
  <c r="P142" i="7942"/>
  <c r="O143" i="7942" s="1"/>
  <c r="L113" i="7942"/>
  <c r="O112" i="7942"/>
  <c r="N113" i="7942" s="1"/>
  <c r="L12" i="7941"/>
  <c r="M464" i="18"/>
  <c r="M692" i="18" s="1"/>
  <c r="P104" i="18"/>
  <c r="P271" i="7942"/>
  <c r="O272" i="7942" s="1"/>
  <c r="L33" i="7941"/>
  <c r="L18" i="7941"/>
  <c r="M117" i="7942"/>
  <c r="O116" i="7942"/>
  <c r="N117" i="7942" s="1"/>
  <c r="L9" i="7944"/>
  <c r="O154" i="7942"/>
  <c r="L127" i="7942"/>
  <c r="Q126" i="7942"/>
  <c r="P132" i="7942"/>
  <c r="O133" i="7942" s="1"/>
  <c r="O289" i="7942"/>
  <c r="N290" i="7942" s="1"/>
  <c r="N110" i="7942"/>
  <c r="L111" i="7942"/>
  <c r="O330" i="18"/>
  <c r="O60" i="18"/>
  <c r="O112" i="18"/>
  <c r="O317" i="18"/>
  <c r="O369" i="18"/>
  <c r="P3" i="18"/>
  <c r="O239" i="18"/>
  <c r="O57" i="18"/>
  <c r="O135" i="18"/>
  <c r="O213" i="18"/>
  <c r="O96" i="18"/>
  <c r="O151" i="18"/>
  <c r="O61" i="18"/>
  <c r="O100" i="18"/>
  <c r="O48" i="18"/>
  <c r="O265" i="18"/>
  <c r="O139" i="18"/>
  <c r="O98" i="18"/>
  <c r="O62" i="18"/>
  <c r="O128" i="18"/>
  <c r="O122" i="18"/>
  <c r="P122" i="18" s="1"/>
  <c r="O83" i="18"/>
  <c r="O116" i="18"/>
  <c r="O150" i="18"/>
  <c r="O46" i="18"/>
  <c r="O138" i="18"/>
  <c r="O59" i="18"/>
  <c r="O70" i="18"/>
  <c r="O343" i="18"/>
  <c r="O421" i="18"/>
  <c r="O187" i="18"/>
  <c r="O129" i="18"/>
  <c r="O140" i="18"/>
  <c r="O125" i="18"/>
  <c r="O141" i="18"/>
  <c r="O50" i="18"/>
  <c r="O408" i="18"/>
  <c r="O226" i="18"/>
  <c r="O356" i="18"/>
  <c r="O137" i="18"/>
  <c r="O153" i="18"/>
  <c r="O111" i="18"/>
  <c r="P111" i="18" s="1"/>
  <c r="O278" i="18"/>
  <c r="O148" i="18"/>
  <c r="O395" i="18"/>
  <c r="O161" i="18"/>
  <c r="O44" i="18"/>
  <c r="O103" i="18"/>
  <c r="O101" i="18"/>
  <c r="O124" i="18"/>
  <c r="O51" i="18"/>
  <c r="O126" i="18"/>
  <c r="O115" i="18"/>
  <c r="O252" i="18"/>
  <c r="O304" i="18"/>
  <c r="O142" i="18"/>
  <c r="O114" i="18"/>
  <c r="O155" i="18"/>
  <c r="O127" i="18"/>
  <c r="O109" i="18"/>
  <c r="P109" i="18" s="1"/>
  <c r="O200" i="18"/>
  <c r="O174" i="18"/>
  <c r="O291" i="18"/>
  <c r="O64" i="18"/>
  <c r="O99" i="18"/>
  <c r="O113" i="18"/>
  <c r="O382" i="18"/>
  <c r="O154" i="18"/>
  <c r="O102" i="18"/>
  <c r="O49" i="18"/>
  <c r="O152" i="18"/>
  <c r="O63" i="18"/>
  <c r="O47" i="18"/>
  <c r="P279" i="7942"/>
  <c r="O280" i="7942" s="1"/>
  <c r="O293" i="7942"/>
  <c r="M161" i="7942"/>
  <c r="O160" i="7942"/>
  <c r="P297" i="7942"/>
  <c r="O298" i="7942" s="1"/>
  <c r="N94" i="7944"/>
  <c r="O30" i="7944"/>
  <c r="N156" i="7942"/>
  <c r="P156" i="18"/>
  <c r="P325" i="7942"/>
  <c r="O326" i="7942" s="1"/>
  <c r="P299" i="7942"/>
  <c r="O300" i="7942" s="1"/>
  <c r="M165" i="7942"/>
  <c r="O164" i="7942"/>
  <c r="P164" i="7942" s="1"/>
  <c r="O165" i="7942" s="1"/>
  <c r="K214" i="7941"/>
  <c r="L22" i="7941"/>
  <c r="L214" i="7941" s="1"/>
  <c r="P289" i="7942"/>
  <c r="O290" i="7942" s="1"/>
  <c r="L328" i="7942"/>
  <c r="P112" i="7942"/>
  <c r="O113" i="7942" s="1"/>
  <c r="L123" i="7942"/>
  <c r="N122" i="7942"/>
  <c r="L167" i="7942"/>
  <c r="N166" i="7942"/>
  <c r="Q289" i="7942"/>
  <c r="N327" i="7942"/>
  <c r="M328" i="7942" s="1"/>
  <c r="N96" i="7944"/>
  <c r="O32" i="7944"/>
  <c r="Q142" i="7942"/>
  <c r="L135" i="7942"/>
  <c r="Q87" i="7944"/>
  <c r="R23" i="7944"/>
  <c r="L137" i="7942"/>
  <c r="L294" i="7942"/>
  <c r="P293" i="7942"/>
  <c r="O294" i="7942" s="1"/>
  <c r="O118" i="7942"/>
  <c r="N119" i="7942" s="1"/>
  <c r="O305" i="7942"/>
  <c r="N136" i="7942"/>
  <c r="P108" i="7942"/>
  <c r="Q279" i="7942"/>
  <c r="P65" i="18"/>
  <c r="N76" i="7944"/>
  <c r="O12" i="7944" s="1"/>
  <c r="Q286" i="7942"/>
  <c r="Q335" i="7941" s="1"/>
  <c r="P286" i="7942"/>
  <c r="N318" i="7942"/>
  <c r="P317" i="7942"/>
  <c r="O318" i="7942" s="1"/>
  <c r="Q317" i="7942"/>
  <c r="L312" i="7942"/>
  <c r="O311" i="7942"/>
  <c r="N312" i="7942" s="1"/>
  <c r="K8" i="7941"/>
  <c r="J200" i="7941"/>
  <c r="P134" i="7942"/>
  <c r="O135" i="7942" s="1"/>
  <c r="L129" i="7942"/>
  <c r="N128" i="7942"/>
  <c r="L151" i="7942"/>
  <c r="O150" i="7942"/>
  <c r="N151" i="7942" s="1"/>
  <c r="N140" i="7942"/>
  <c r="M141" i="7942" s="1"/>
  <c r="L141" i="7942"/>
  <c r="N89" i="7944"/>
  <c r="O25" i="7944" s="1"/>
  <c r="P305" i="7942"/>
  <c r="O306" i="7942" s="1"/>
  <c r="P158" i="7942"/>
  <c r="O159" i="7942" s="1"/>
  <c r="P138" i="7942"/>
  <c r="O139" i="7942" s="1"/>
  <c r="K28" i="7941"/>
  <c r="K458" i="18"/>
  <c r="K459" i="18"/>
  <c r="L447" i="18"/>
  <c r="L675" i="18" s="1"/>
  <c r="L511" i="18" s="1"/>
  <c r="L80" i="7941" s="1"/>
  <c r="L34" i="7941"/>
  <c r="K16" i="7941"/>
  <c r="L16" i="7941" s="1"/>
  <c r="J208" i="7941"/>
  <c r="L225" i="7941"/>
  <c r="P314" i="7942"/>
  <c r="Q314" i="7942"/>
  <c r="Q349" i="7941" s="1"/>
  <c r="K12" i="7947"/>
  <c r="J12" i="7947"/>
  <c r="H12" i="7947"/>
  <c r="L12" i="7947"/>
  <c r="I12" i="7947"/>
  <c r="N486" i="18"/>
  <c r="N55" i="7941" s="1"/>
  <c r="E239" i="7947"/>
  <c r="O171" i="1"/>
  <c r="O40" i="18" s="1"/>
  <c r="O143" i="1"/>
  <c r="O152" i="1"/>
  <c r="O21" i="18" s="1"/>
  <c r="O146" i="1"/>
  <c r="O15" i="18" s="1"/>
  <c r="O154" i="1"/>
  <c r="O23" i="18" s="1"/>
  <c r="O145" i="1"/>
  <c r="O14" i="18" s="1"/>
  <c r="O156" i="1"/>
  <c r="O25" i="18" s="1"/>
  <c r="O166" i="1"/>
  <c r="O35" i="18" s="1"/>
  <c r="O161" i="1"/>
  <c r="O30" i="18" s="1"/>
  <c r="O160" i="1"/>
  <c r="O29" i="18" s="1"/>
  <c r="O165" i="1"/>
  <c r="O34" i="18" s="1"/>
  <c r="O164" i="1"/>
  <c r="O33" i="18" s="1"/>
  <c r="O144" i="1"/>
  <c r="O169" i="1"/>
  <c r="O38" i="18" s="1"/>
  <c r="O167" i="1"/>
  <c r="O36" i="18" s="1"/>
  <c r="O157" i="1"/>
  <c r="O26" i="18" s="1"/>
  <c r="O162" i="1"/>
  <c r="O31" i="18" s="1"/>
  <c r="O149" i="1"/>
  <c r="O163" i="1"/>
  <c r="O32" i="18" s="1"/>
  <c r="O151" i="1"/>
  <c r="O7" i="18"/>
  <c r="O159" i="1"/>
  <c r="O28" i="18" s="1"/>
  <c r="O172" i="1"/>
  <c r="O41" i="18" s="1"/>
  <c r="O150" i="1"/>
  <c r="O155" i="1"/>
  <c r="O24" i="18" s="1"/>
  <c r="O170" i="1"/>
  <c r="O39" i="18" s="1"/>
  <c r="O147" i="1"/>
  <c r="O168" i="1"/>
  <c r="O37" i="18" s="1"/>
  <c r="O158" i="1"/>
  <c r="O27" i="18" s="1"/>
  <c r="O153" i="1"/>
  <c r="O22" i="18" s="1"/>
  <c r="O148" i="1"/>
  <c r="N173" i="1"/>
  <c r="N12" i="18"/>
  <c r="O52" i="18"/>
  <c r="N16" i="18"/>
  <c r="O104" i="18"/>
  <c r="E351" i="7947"/>
  <c r="N494" i="18"/>
  <c r="N63" i="7941" s="1"/>
  <c r="E225" i="7947"/>
  <c r="N485" i="18"/>
  <c r="N54" i="7941" s="1"/>
  <c r="N17" i="18"/>
  <c r="O117" i="18"/>
  <c r="M478" i="18"/>
  <c r="M47" i="7941" s="1"/>
  <c r="E126" i="7947"/>
  <c r="F126" i="7947" s="1"/>
  <c r="O37" i="7944"/>
  <c r="P304" i="7942"/>
  <c r="Q304" i="7942"/>
  <c r="Q344" i="7941" s="1"/>
  <c r="P278" i="7942"/>
  <c r="Q278" i="7942"/>
  <c r="Q331" i="7941" s="1"/>
  <c r="H125" i="7947"/>
  <c r="K125" i="7947"/>
  <c r="J125" i="7947"/>
  <c r="L125" i="7947"/>
  <c r="I125" i="7947"/>
  <c r="Q301" i="7942"/>
  <c r="K110" i="7947"/>
  <c r="L110" i="7947"/>
  <c r="H110" i="7947"/>
  <c r="I110" i="7947"/>
  <c r="J110" i="7947"/>
  <c r="N316" i="7942"/>
  <c r="P315" i="7942"/>
  <c r="O316" i="7942" s="1"/>
  <c r="E70" i="7947"/>
  <c r="F70" i="7947" s="1"/>
  <c r="M474" i="18"/>
  <c r="M43" i="7941" s="1"/>
  <c r="K124" i="7947"/>
  <c r="J124" i="7947"/>
  <c r="L124" i="7947"/>
  <c r="H124" i="7947"/>
  <c r="I124" i="7947"/>
  <c r="Q299" i="7942"/>
  <c r="N308" i="7942"/>
  <c r="P307" i="7942"/>
  <c r="O308" i="7942" s="1"/>
  <c r="K26" i="7947"/>
  <c r="I26" i="7947"/>
  <c r="J26" i="7947"/>
  <c r="L26" i="7947"/>
  <c r="H26" i="7947"/>
  <c r="L69" i="7947"/>
  <c r="H69" i="7947"/>
  <c r="K69" i="7947"/>
  <c r="I69" i="7947"/>
  <c r="J69" i="7947"/>
  <c r="E43" i="7947"/>
  <c r="N472" i="18"/>
  <c r="N41" i="7941" s="1"/>
  <c r="E365" i="7947"/>
  <c r="N495" i="18"/>
  <c r="N64" i="7941" s="1"/>
  <c r="E309" i="7947"/>
  <c r="N491" i="18"/>
  <c r="N60" i="7941" s="1"/>
  <c r="E253" i="7947"/>
  <c r="N487" i="18"/>
  <c r="N56" i="7941" s="1"/>
  <c r="E267" i="7947"/>
  <c r="N488" i="18"/>
  <c r="N57" i="7941" s="1"/>
  <c r="E57" i="7947"/>
  <c r="N473" i="18"/>
  <c r="N42" i="7941" s="1"/>
  <c r="E337" i="7947"/>
  <c r="N493" i="18"/>
  <c r="N62" i="7941" s="1"/>
  <c r="N482" i="18"/>
  <c r="N51" i="7941" s="1"/>
  <c r="E183" i="7947"/>
  <c r="K687" i="18"/>
  <c r="K523" i="18" s="1"/>
  <c r="K92" i="7941" s="1"/>
  <c r="K220" i="7941" s="1"/>
  <c r="M477" i="18"/>
  <c r="M46" i="7941" s="1"/>
  <c r="E112" i="7947"/>
  <c r="F112" i="7947" s="1"/>
  <c r="K68" i="7947"/>
  <c r="H68" i="7947"/>
  <c r="L68" i="7947"/>
  <c r="J68" i="7947"/>
  <c r="I68" i="7947"/>
  <c r="Q271" i="7942"/>
  <c r="K97" i="7947"/>
  <c r="H97" i="7947"/>
  <c r="I97" i="7947"/>
  <c r="J97" i="7947"/>
  <c r="L97" i="7947"/>
  <c r="M320" i="7942"/>
  <c r="O319" i="7942"/>
  <c r="N320" i="7942" s="1"/>
  <c r="J83" i="7947"/>
  <c r="K83" i="7947"/>
  <c r="L83" i="7947"/>
  <c r="I83" i="7947"/>
  <c r="H83" i="7947"/>
  <c r="Q325" i="7942"/>
  <c r="N115" i="7942"/>
  <c r="P114" i="7942"/>
  <c r="O115" i="7942" s="1"/>
  <c r="E28" i="7947"/>
  <c r="F28" i="7947" s="1"/>
  <c r="M471" i="18"/>
  <c r="M40" i="7941" s="1"/>
  <c r="E98" i="7947"/>
  <c r="M476" i="18"/>
  <c r="M45" i="7941" s="1"/>
  <c r="H13" i="7947"/>
  <c r="L13" i="7947"/>
  <c r="I13" i="7947"/>
  <c r="J13" i="7947"/>
  <c r="K13" i="7947"/>
  <c r="I27" i="7947"/>
  <c r="H27" i="7947"/>
  <c r="K27" i="7947"/>
  <c r="L27" i="7947"/>
  <c r="J27" i="7947"/>
  <c r="O274" i="7942"/>
  <c r="Q273" i="7942"/>
  <c r="J111" i="7947"/>
  <c r="H111" i="7947"/>
  <c r="I111" i="7947"/>
  <c r="L111" i="7947"/>
  <c r="K111" i="7947"/>
  <c r="N496" i="18"/>
  <c r="N65" i="7941" s="1"/>
  <c r="E379" i="7947"/>
  <c r="N490" i="18"/>
  <c r="N59" i="7941" s="1"/>
  <c r="E295" i="7947"/>
  <c r="N19" i="18"/>
  <c r="O143" i="18"/>
  <c r="N13" i="18"/>
  <c r="O65" i="18"/>
  <c r="E155" i="7947"/>
  <c r="N480" i="18"/>
  <c r="N49" i="7941" s="1"/>
  <c r="N20" i="18"/>
  <c r="O156" i="18"/>
  <c r="E407" i="7947"/>
  <c r="N498" i="18"/>
  <c r="N67" i="7941" s="1"/>
  <c r="E421" i="7947"/>
  <c r="N499" i="18"/>
  <c r="N68" i="7941" s="1"/>
  <c r="E84" i="7947"/>
  <c r="F84" i="7947" s="1"/>
  <c r="M475" i="18"/>
  <c r="M44" i="7941" s="1"/>
  <c r="M270" i="7942"/>
  <c r="N268" i="7942"/>
  <c r="M329" i="7942" s="1"/>
  <c r="O269" i="7942"/>
  <c r="E14" i="7947"/>
  <c r="F14" i="7947" s="1"/>
  <c r="M470" i="18"/>
  <c r="M11" i="18"/>
  <c r="K208" i="7941"/>
  <c r="N322" i="7942"/>
  <c r="P321" i="7942"/>
  <c r="M153" i="7942"/>
  <c r="N107" i="7942"/>
  <c r="L82" i="7947"/>
  <c r="H82" i="7947"/>
  <c r="I82" i="7947"/>
  <c r="K82" i="7947"/>
  <c r="J82" i="7947"/>
  <c r="O284" i="7942"/>
  <c r="Q283" i="7942"/>
  <c r="L469" i="18"/>
  <c r="L39" i="7941"/>
  <c r="L38" i="7941" s="1"/>
  <c r="M310" i="7942"/>
  <c r="L96" i="7947"/>
  <c r="I96" i="7947"/>
  <c r="K96" i="7947"/>
  <c r="H96" i="7947"/>
  <c r="J96" i="7947"/>
  <c r="N296" i="7942"/>
  <c r="P295" i="7942"/>
  <c r="N18" i="18"/>
  <c r="O130" i="18"/>
  <c r="N484" i="18"/>
  <c r="N53" i="7941" s="1"/>
  <c r="E211" i="7947"/>
  <c r="N479" i="18"/>
  <c r="N48" i="7941" s="1"/>
  <c r="E141" i="7947"/>
  <c r="N497" i="18"/>
  <c r="N66" i="7941" s="1"/>
  <c r="E393" i="7947"/>
  <c r="N481" i="18"/>
  <c r="N50" i="7941" s="1"/>
  <c r="E169" i="7947"/>
  <c r="E323" i="7947"/>
  <c r="N492" i="18"/>
  <c r="N61" i="7941" s="1"/>
  <c r="N483" i="18"/>
  <c r="N52" i="7941" s="1"/>
  <c r="E197" i="7947"/>
  <c r="E281" i="7947"/>
  <c r="N489" i="18"/>
  <c r="N58" i="7941" s="1"/>
  <c r="N282" i="7942"/>
  <c r="P281" i="7942"/>
  <c r="P152" i="7942"/>
  <c r="O153" i="7942" s="1"/>
  <c r="N324" i="7942"/>
  <c r="P323" i="7942"/>
  <c r="N460" i="18"/>
  <c r="N688" i="18" s="1"/>
  <c r="M23" i="7941"/>
  <c r="N441" i="18"/>
  <c r="N669" i="18" s="1"/>
  <c r="M16" i="7941"/>
  <c r="N446" i="18"/>
  <c r="N674" i="18" s="1"/>
  <c r="M199" i="18"/>
  <c r="M643" i="18" s="1"/>
  <c r="M218" i="7941"/>
  <c r="N451" i="18"/>
  <c r="N679" i="18" s="1"/>
  <c r="M220" i="7941"/>
  <c r="N465" i="18"/>
  <c r="N693" i="18" s="1"/>
  <c r="N445" i="18"/>
  <c r="N673" i="18" s="1"/>
  <c r="M20" i="7941"/>
  <c r="N450" i="18"/>
  <c r="N678" i="18" s="1"/>
  <c r="M223" i="7941"/>
  <c r="M13" i="7941"/>
  <c r="M202" i="7941"/>
  <c r="M205" i="7941"/>
  <c r="M173" i="18"/>
  <c r="M641" i="18" s="1"/>
  <c r="N456" i="18"/>
  <c r="N684" i="18" s="1"/>
  <c r="M35" i="7941"/>
  <c r="M238" i="18"/>
  <c r="M646" i="18" s="1"/>
  <c r="M134" i="18"/>
  <c r="M638" i="18" s="1"/>
  <c r="M208" i="7941"/>
  <c r="M420" i="18"/>
  <c r="M660" i="18" s="1"/>
  <c r="M530" i="18" s="1"/>
  <c r="M99" i="7941" s="1"/>
  <c r="N464" i="18"/>
  <c r="N692" i="18" s="1"/>
  <c r="M34" i="7941"/>
  <c r="M33" i="7941"/>
  <c r="M290" i="18"/>
  <c r="M650" i="18" s="1"/>
  <c r="N438" i="18"/>
  <c r="M31" i="7941"/>
  <c r="M17" i="7941"/>
  <c r="M24" i="7941"/>
  <c r="M199" i="7941"/>
  <c r="N448" i="18"/>
  <c r="N676" i="18" s="1"/>
  <c r="M303" i="18"/>
  <c r="M651" i="18" s="1"/>
  <c r="M25" i="7941"/>
  <c r="N455" i="18"/>
  <c r="N683" i="18" s="1"/>
  <c r="M407" i="18"/>
  <c r="M659" i="18" s="1"/>
  <c r="M228" i="7941"/>
  <c r="M108" i="18"/>
  <c r="M636" i="18" s="1"/>
  <c r="M206" i="7941"/>
  <c r="N461" i="18"/>
  <c r="N689" i="18" s="1"/>
  <c r="M225" i="7941"/>
  <c r="M10" i="7941"/>
  <c r="M216" i="7941"/>
  <c r="N467" i="18"/>
  <c r="N695" i="18" s="1"/>
  <c r="M21" i="7941"/>
  <c r="M26" i="7941"/>
  <c r="M12" i="7941"/>
  <c r="M433" i="18"/>
  <c r="M661" i="18" s="1"/>
  <c r="M8" i="7941"/>
  <c r="N458" i="18"/>
  <c r="N686" i="18" s="1"/>
  <c r="M30" i="7941"/>
  <c r="M394" i="18"/>
  <c r="M658" i="18" s="1"/>
  <c r="M528" i="18" s="1"/>
  <c r="M97" i="7941" s="1"/>
  <c r="M18" i="7941"/>
  <c r="M27" i="7941"/>
  <c r="M277" i="18"/>
  <c r="M649" i="18" s="1"/>
  <c r="M200" i="7941"/>
  <c r="M225" i="18"/>
  <c r="M645" i="18" s="1"/>
  <c r="M217" i="7941"/>
  <c r="M316" i="18"/>
  <c r="M652" i="18" s="1"/>
  <c r="M214" i="7941"/>
  <c r="M211" i="7941"/>
  <c r="M210" i="7941"/>
  <c r="M212" i="7941"/>
  <c r="M204" i="7941"/>
  <c r="N459" i="18"/>
  <c r="N687" i="18" s="1"/>
  <c r="N466" i="18"/>
  <c r="N694" i="18" s="1"/>
  <c r="M28" i="7941"/>
  <c r="M368" i="18"/>
  <c r="M656" i="18" s="1"/>
  <c r="N447" i="18"/>
  <c r="N675" i="18" s="1"/>
  <c r="N442" i="18"/>
  <c r="N670" i="18" s="1"/>
  <c r="M14" i="7941"/>
  <c r="M213" i="7941"/>
  <c r="M329" i="18"/>
  <c r="M653" i="18" s="1"/>
  <c r="N454" i="18"/>
  <c r="N682" i="18" s="1"/>
  <c r="M82" i="18"/>
  <c r="M634" i="18" s="1"/>
  <c r="N440" i="18"/>
  <c r="N668" i="18" s="1"/>
  <c r="M201" i="7941"/>
  <c r="M29" i="7941"/>
  <c r="M251" i="18"/>
  <c r="M647" i="18" s="1"/>
  <c r="M517" i="18" s="1"/>
  <c r="M86" i="7941" s="1"/>
  <c r="M212" i="18"/>
  <c r="M644" i="18" s="1"/>
  <c r="M32" i="7941"/>
  <c r="N444" i="18"/>
  <c r="N672" i="18" s="1"/>
  <c r="M11" i="7941"/>
  <c r="N452" i="18"/>
  <c r="N680" i="18" s="1"/>
  <c r="M381" i="18"/>
  <c r="M657" i="18" s="1"/>
  <c r="M527" i="18" s="1"/>
  <c r="M96" i="7941" s="1"/>
  <c r="M7" i="7941"/>
  <c r="M219" i="7941"/>
  <c r="M207" i="7941"/>
  <c r="M221" i="7941"/>
  <c r="N463" i="18"/>
  <c r="N691" i="18" s="1"/>
  <c r="M227" i="7941"/>
  <c r="N443" i="18"/>
  <c r="N671" i="18" s="1"/>
  <c r="M203" i="7941"/>
  <c r="M95" i="18"/>
  <c r="M635" i="18" s="1"/>
  <c r="M222" i="7941"/>
  <c r="N453" i="18"/>
  <c r="N681" i="18" s="1"/>
  <c r="M36" i="7941"/>
  <c r="N457" i="18"/>
  <c r="N685" i="18" s="1"/>
  <c r="M121" i="18"/>
  <c r="M637" i="18" s="1"/>
  <c r="N439" i="18"/>
  <c r="N667" i="18" s="1"/>
  <c r="M56" i="18"/>
  <c r="M19" i="7941"/>
  <c r="M209" i="7941"/>
  <c r="N449" i="18"/>
  <c r="N677" i="18" s="1"/>
  <c r="M160" i="18"/>
  <c r="M640" i="18" s="1"/>
  <c r="M9" i="7941"/>
  <c r="M22" i="7941"/>
  <c r="N462" i="18"/>
  <c r="N690" i="18" s="1"/>
  <c r="M226" i="7941"/>
  <c r="M355" i="18"/>
  <c r="M655" i="18" s="1"/>
  <c r="M224" i="7941"/>
  <c r="M147" i="18"/>
  <c r="M639" i="18" s="1"/>
  <c r="M186" i="18"/>
  <c r="M642" i="18" s="1"/>
  <c r="M15" i="7941"/>
  <c r="M264" i="18"/>
  <c r="M648" i="18" s="1"/>
  <c r="M215" i="7941"/>
  <c r="M69" i="18"/>
  <c r="M633" i="18" s="1"/>
  <c r="M342" i="18"/>
  <c r="M654" i="18" s="1"/>
  <c r="Q287" i="7942"/>
  <c r="O309" i="7942"/>
  <c r="N310" i="7942" s="1"/>
  <c r="L153" i="7942"/>
  <c r="M107" i="7942"/>
  <c r="L168" i="7942" s="1"/>
  <c r="Q152" i="7942"/>
  <c r="O125" i="7942"/>
  <c r="Q124" i="7942"/>
  <c r="K204" i="7941"/>
  <c r="L215" i="7941"/>
  <c r="L213" i="7941"/>
  <c r="M452" i="18"/>
  <c r="M680" i="18" s="1"/>
  <c r="M516" i="18" s="1"/>
  <c r="M85" i="7941" s="1"/>
  <c r="M454" i="18"/>
  <c r="M682" i="18" s="1"/>
  <c r="L443" i="18"/>
  <c r="L671" i="18" s="1"/>
  <c r="L507" i="18" s="1"/>
  <c r="L76" i="7941" s="1"/>
  <c r="L204" i="7941" s="1"/>
  <c r="M441" i="18"/>
  <c r="M669" i="18" s="1"/>
  <c r="M460" i="18"/>
  <c r="M688" i="18" s="1"/>
  <c r="M524" i="18" s="1"/>
  <c r="M93" i="7941" s="1"/>
  <c r="L465" i="18"/>
  <c r="L442" i="18"/>
  <c r="L11" i="7941"/>
  <c r="L684" i="18"/>
  <c r="L520" i="18" s="1"/>
  <c r="L89" i="7941" s="1"/>
  <c r="L217" i="7941" s="1"/>
  <c r="K679" i="18"/>
  <c r="K515" i="18" s="1"/>
  <c r="K84" i="7941" s="1"/>
  <c r="L672" i="18"/>
  <c r="L508" i="18" s="1"/>
  <c r="L77" i="7941" s="1"/>
  <c r="L205" i="7941" s="1"/>
  <c r="L674" i="18"/>
  <c r="L510" i="18" s="1"/>
  <c r="L79" i="7941" s="1"/>
  <c r="L207" i="7941" s="1"/>
  <c r="L26" i="7941"/>
  <c r="K218" i="7941"/>
  <c r="K209" i="7941"/>
  <c r="L678" i="18"/>
  <c r="L514" i="18" s="1"/>
  <c r="L83" i="7941" s="1"/>
  <c r="L211" i="7941" s="1"/>
  <c r="K666" i="18"/>
  <c r="K7" i="7941"/>
  <c r="J199" i="7941"/>
  <c r="K673" i="18"/>
  <c r="K509" i="18" s="1"/>
  <c r="K78" i="7941" s="1"/>
  <c r="L457" i="18"/>
  <c r="L677" i="18"/>
  <c r="L513" i="18" s="1"/>
  <c r="L82" i="7941" s="1"/>
  <c r="L210" i="7941" s="1"/>
  <c r="M461" i="18"/>
  <c r="M689" i="18" s="1"/>
  <c r="M525" i="18" s="1"/>
  <c r="M94" i="7941" s="1"/>
  <c r="M467" i="18"/>
  <c r="M695" i="18" s="1"/>
  <c r="L448" i="18"/>
  <c r="M462" i="18"/>
  <c r="M690" i="18" s="1"/>
  <c r="I73" i="7941"/>
  <c r="I501" i="18"/>
  <c r="J440" i="18"/>
  <c r="M455" i="18"/>
  <c r="M683" i="18" s="1"/>
  <c r="M519" i="18" s="1"/>
  <c r="M88" i="7941" s="1"/>
  <c r="O76" i="7944" l="1"/>
  <c r="P12" i="7944" s="1"/>
  <c r="O98" i="7944"/>
  <c r="P34" i="7944" s="1"/>
  <c r="O82" i="7944"/>
  <c r="P18" i="7944"/>
  <c r="O75" i="7944"/>
  <c r="P11" i="7944" s="1"/>
  <c r="O89" i="7944"/>
  <c r="P25" i="7944"/>
  <c r="P86" i="7944"/>
  <c r="Q22" i="7944"/>
  <c r="O84" i="7944"/>
  <c r="P20" i="7944" s="1"/>
  <c r="O83" i="7944"/>
  <c r="P19" i="7944" s="1"/>
  <c r="O85" i="7944"/>
  <c r="P21" i="7944" s="1"/>
  <c r="O77" i="7944"/>
  <c r="P13" i="7944"/>
  <c r="P92" i="7944"/>
  <c r="Q28" i="7944"/>
  <c r="P319" i="7942"/>
  <c r="K200" i="7941"/>
  <c r="L8" i="7941"/>
  <c r="Q280" i="7942"/>
  <c r="Q332" i="7941" s="1"/>
  <c r="P280" i="7942"/>
  <c r="Q134" i="7942"/>
  <c r="P98" i="18"/>
  <c r="P128" i="18"/>
  <c r="P161" i="18"/>
  <c r="P369" i="18"/>
  <c r="P421" i="18"/>
  <c r="P239" i="18"/>
  <c r="P382" i="18"/>
  <c r="P129" i="18"/>
  <c r="P155" i="18"/>
  <c r="P57" i="18"/>
  <c r="P141" i="18"/>
  <c r="P114" i="18"/>
  <c r="P112" i="18"/>
  <c r="P47" i="18"/>
  <c r="P51" i="18"/>
  <c r="P153" i="18"/>
  <c r="P137" i="18"/>
  <c r="P125" i="18"/>
  <c r="P102" i="18"/>
  <c r="P70" i="18"/>
  <c r="Q70" i="18" s="1"/>
  <c r="P148" i="18"/>
  <c r="P44" i="18"/>
  <c r="P138" i="18"/>
  <c r="P49" i="18"/>
  <c r="P60" i="18"/>
  <c r="P174" i="18"/>
  <c r="P200" i="18"/>
  <c r="P291" i="18"/>
  <c r="P304" i="18"/>
  <c r="P330" i="18"/>
  <c r="P317" i="18"/>
  <c r="P64" i="18"/>
  <c r="P130" i="18"/>
  <c r="Q3" i="18"/>
  <c r="P61" i="18"/>
  <c r="P126" i="18"/>
  <c r="P62" i="18"/>
  <c r="P46" i="18"/>
  <c r="P154" i="18"/>
  <c r="P150" i="18"/>
  <c r="P101" i="18"/>
  <c r="P99" i="18"/>
  <c r="P63" i="18"/>
  <c r="P278" i="18"/>
  <c r="P408" i="18"/>
  <c r="P135" i="18"/>
  <c r="P187" i="18"/>
  <c r="P117" i="18"/>
  <c r="P113" i="18"/>
  <c r="P59" i="18"/>
  <c r="P152" i="18"/>
  <c r="P127" i="18"/>
  <c r="P48" i="18"/>
  <c r="P356" i="18"/>
  <c r="P83" i="18"/>
  <c r="P252" i="18"/>
  <c r="P124" i="18"/>
  <c r="P151" i="18"/>
  <c r="P96" i="18"/>
  <c r="Q96" i="18" s="1"/>
  <c r="P395" i="18"/>
  <c r="P343" i="18"/>
  <c r="P116" i="18"/>
  <c r="P103" i="18"/>
  <c r="P100" i="18"/>
  <c r="P115" i="18"/>
  <c r="P140" i="18"/>
  <c r="P50" i="18"/>
  <c r="P265" i="18"/>
  <c r="P213" i="18"/>
  <c r="P142" i="18"/>
  <c r="P226" i="18"/>
  <c r="P139" i="18"/>
  <c r="N155" i="7942"/>
  <c r="Q154" i="7942"/>
  <c r="P52" i="18"/>
  <c r="O144" i="7942"/>
  <c r="P143" i="18"/>
  <c r="O140" i="7942"/>
  <c r="N141" i="7942" s="1"/>
  <c r="O122" i="7942"/>
  <c r="N123" i="7942" s="1"/>
  <c r="P116" i="7942"/>
  <c r="O109" i="7942"/>
  <c r="Q108" i="7942"/>
  <c r="N306" i="7942"/>
  <c r="Q305" i="7942"/>
  <c r="Q138" i="7942"/>
  <c r="L73" i="7944"/>
  <c r="L71" i="7944" s="1"/>
  <c r="L7" i="7944"/>
  <c r="O327" i="7942"/>
  <c r="Q130" i="7942"/>
  <c r="N149" i="7942"/>
  <c r="P148" i="7942"/>
  <c r="Q112" i="7942"/>
  <c r="Q132" i="7942"/>
  <c r="P150" i="7942"/>
  <c r="O97" i="7944"/>
  <c r="P33" i="7944" s="1"/>
  <c r="Q118" i="18"/>
  <c r="Q105" i="18"/>
  <c r="M129" i="7942"/>
  <c r="P318" i="7942"/>
  <c r="Q318" i="7942"/>
  <c r="Q351" i="7941" s="1"/>
  <c r="M137" i="7942"/>
  <c r="O136" i="7942"/>
  <c r="N137" i="7942" s="1"/>
  <c r="Q136" i="7942"/>
  <c r="P143" i="7942"/>
  <c r="Q143" i="7942"/>
  <c r="Q280" i="7941" s="1"/>
  <c r="P290" i="7942"/>
  <c r="Q290" i="7942"/>
  <c r="Q337" i="7941" s="1"/>
  <c r="M123" i="7942"/>
  <c r="M157" i="7942"/>
  <c r="O156" i="7942"/>
  <c r="N157" i="7942" s="1"/>
  <c r="P140" i="7942"/>
  <c r="O141" i="7942" s="1"/>
  <c r="N161" i="7942"/>
  <c r="P160" i="7942"/>
  <c r="O161" i="7942" s="1"/>
  <c r="N294" i="7942"/>
  <c r="Q293" i="7942"/>
  <c r="P118" i="7942"/>
  <c r="O119" i="7942" s="1"/>
  <c r="Q127" i="7942"/>
  <c r="Q272" i="7941" s="1"/>
  <c r="P127" i="7942"/>
  <c r="N121" i="7942"/>
  <c r="P120" i="7942"/>
  <c r="N99" i="7944"/>
  <c r="O35" i="7944" s="1"/>
  <c r="P327" i="7942"/>
  <c r="O328" i="7942" s="1"/>
  <c r="O88" i="7944"/>
  <c r="P24" i="7944" s="1"/>
  <c r="P311" i="7942"/>
  <c r="O312" i="7942" s="1"/>
  <c r="O95" i="7944"/>
  <c r="P31" i="7944"/>
  <c r="Q307" i="7942"/>
  <c r="O128" i="7942"/>
  <c r="N129" i="7942" s="1"/>
  <c r="P136" i="7942"/>
  <c r="O137" i="7942" s="1"/>
  <c r="P32" i="7944"/>
  <c r="O96" i="7944"/>
  <c r="M167" i="7942"/>
  <c r="O166" i="7942"/>
  <c r="N167" i="7942" s="1"/>
  <c r="Q164" i="7942"/>
  <c r="N165" i="7942"/>
  <c r="O94" i="7944"/>
  <c r="P30" i="7944" s="1"/>
  <c r="M111" i="7942"/>
  <c r="O110" i="7942"/>
  <c r="Q158" i="7942"/>
  <c r="M163" i="7942"/>
  <c r="O162" i="7942"/>
  <c r="N163" i="7942" s="1"/>
  <c r="Q297" i="7942"/>
  <c r="Q292" i="7942"/>
  <c r="Q338" i="7941" s="1"/>
  <c r="P292" i="7942"/>
  <c r="N147" i="7942"/>
  <c r="P146" i="7942"/>
  <c r="P144" i="7942"/>
  <c r="O145" i="7942" s="1"/>
  <c r="L667" i="18"/>
  <c r="L503" i="18" s="1"/>
  <c r="L72" i="7941" s="1"/>
  <c r="N74" i="7944"/>
  <c r="O10" i="7944" s="1"/>
  <c r="O80" i="7944"/>
  <c r="P16" i="7944"/>
  <c r="M526" i="18"/>
  <c r="M95" i="7941" s="1"/>
  <c r="M518" i="18"/>
  <c r="M87" i="7941" s="1"/>
  <c r="K686" i="18"/>
  <c r="K522" i="18" s="1"/>
  <c r="K91" i="7941" s="1"/>
  <c r="M505" i="18"/>
  <c r="M74" i="7941" s="1"/>
  <c r="L208" i="7941"/>
  <c r="M531" i="18"/>
  <c r="M100" i="7941" s="1"/>
  <c r="M632" i="18"/>
  <c r="M631" i="18" s="1"/>
  <c r="M43" i="18"/>
  <c r="O322" i="7942"/>
  <c r="Q321" i="7942"/>
  <c r="M39" i="7941"/>
  <c r="M38" i="7941" s="1"/>
  <c r="M469" i="18"/>
  <c r="E127" i="7947"/>
  <c r="N478" i="18"/>
  <c r="N47" i="7941" s="1"/>
  <c r="E29" i="7947"/>
  <c r="F29" i="7947" s="1"/>
  <c r="N471" i="18"/>
  <c r="N40" i="7941" s="1"/>
  <c r="Q274" i="7942"/>
  <c r="Q329" i="7941" s="1"/>
  <c r="P274" i="7942"/>
  <c r="Q308" i="7942"/>
  <c r="Q346" i="7941" s="1"/>
  <c r="P308" i="7942"/>
  <c r="O320" i="7942"/>
  <c r="Q319" i="7942"/>
  <c r="P272" i="7942"/>
  <c r="Q272" i="7942"/>
  <c r="Q328" i="7941" s="1"/>
  <c r="M110" i="7947"/>
  <c r="P37" i="7944"/>
  <c r="E156" i="7947"/>
  <c r="O480" i="18"/>
  <c r="O49" i="7941" s="1"/>
  <c r="O497" i="18"/>
  <c r="O66" i="7941" s="1"/>
  <c r="E394" i="7947"/>
  <c r="E240" i="7947"/>
  <c r="O486" i="18"/>
  <c r="O55" i="7941" s="1"/>
  <c r="O18" i="18"/>
  <c r="P131" i="18"/>
  <c r="O496" i="18"/>
  <c r="O65" i="7941" s="1"/>
  <c r="E380" i="7947"/>
  <c r="E254" i="7947"/>
  <c r="O487" i="18"/>
  <c r="O56" i="7941" s="1"/>
  <c r="O483" i="18"/>
  <c r="O52" i="7941" s="1"/>
  <c r="E198" i="7947"/>
  <c r="E142" i="7947"/>
  <c r="O479" i="18"/>
  <c r="O48" i="7941" s="1"/>
  <c r="O282" i="7942"/>
  <c r="Q281" i="7942"/>
  <c r="M168" i="7942"/>
  <c r="J14" i="7947"/>
  <c r="I14" i="7947"/>
  <c r="L14" i="7947"/>
  <c r="H14" i="7947"/>
  <c r="K14" i="7947"/>
  <c r="F98" i="7947"/>
  <c r="Q114" i="7942"/>
  <c r="M447" i="18"/>
  <c r="M675" i="18" s="1"/>
  <c r="M511" i="18" s="1"/>
  <c r="M80" i="7941" s="1"/>
  <c r="L28" i="7941"/>
  <c r="M124" i="7947"/>
  <c r="M125" i="7947"/>
  <c r="E85" i="7947"/>
  <c r="F85" i="7947" s="1"/>
  <c r="N475" i="18"/>
  <c r="N44" i="7941" s="1"/>
  <c r="N11" i="18"/>
  <c r="E15" i="7947"/>
  <c r="N470" i="18"/>
  <c r="E226" i="7947"/>
  <c r="O485" i="18"/>
  <c r="O54" i="7941" s="1"/>
  <c r="E184" i="7947"/>
  <c r="O482" i="18"/>
  <c r="O51" i="7941" s="1"/>
  <c r="E282" i="7947"/>
  <c r="O489" i="18"/>
  <c r="O58" i="7941" s="1"/>
  <c r="O13" i="18"/>
  <c r="P66" i="18"/>
  <c r="O488" i="18"/>
  <c r="O57" i="7941" s="1"/>
  <c r="E268" i="7947"/>
  <c r="E44" i="7947"/>
  <c r="O472" i="18"/>
  <c r="O41" i="7941" s="1"/>
  <c r="O173" i="1"/>
  <c r="O12" i="18"/>
  <c r="P53" i="18"/>
  <c r="M198" i="7941"/>
  <c r="N666" i="18"/>
  <c r="N665" i="18" s="1"/>
  <c r="N437" i="18"/>
  <c r="O324" i="7942"/>
  <c r="Q323" i="7942"/>
  <c r="E99" i="7947"/>
  <c r="F99" i="7947" s="1"/>
  <c r="N476" i="18"/>
  <c r="N45" i="7941" s="1"/>
  <c r="M96" i="7947"/>
  <c r="O268" i="7942"/>
  <c r="N329" i="7942" s="1"/>
  <c r="N270" i="7942"/>
  <c r="P269" i="7942"/>
  <c r="Q269" i="7942" s="1"/>
  <c r="H84" i="7947"/>
  <c r="L84" i="7947"/>
  <c r="J84" i="7947"/>
  <c r="I84" i="7947"/>
  <c r="K84" i="7947"/>
  <c r="N477" i="18"/>
  <c r="N46" i="7941" s="1"/>
  <c r="E113" i="7947"/>
  <c r="M111" i="7947"/>
  <c r="Q326" i="7942"/>
  <c r="Q355" i="7941" s="1"/>
  <c r="P326" i="7942"/>
  <c r="M97" i="7947"/>
  <c r="K112" i="7947"/>
  <c r="J112" i="7947"/>
  <c r="I112" i="7947"/>
  <c r="L112" i="7947"/>
  <c r="H112" i="7947"/>
  <c r="J70" i="7947"/>
  <c r="H70" i="7947"/>
  <c r="L70" i="7947"/>
  <c r="K70" i="7947"/>
  <c r="I70" i="7947"/>
  <c r="I126" i="7947"/>
  <c r="K126" i="7947"/>
  <c r="H126" i="7947"/>
  <c r="L126" i="7947"/>
  <c r="J126" i="7947"/>
  <c r="N12" i="7941"/>
  <c r="N199" i="7941"/>
  <c r="O445" i="18"/>
  <c r="O673" i="18" s="1"/>
  <c r="N33" i="7941"/>
  <c r="N394" i="18"/>
  <c r="N658" i="18" s="1"/>
  <c r="N528" i="18" s="1"/>
  <c r="N97" i="7941" s="1"/>
  <c r="N211" i="7941"/>
  <c r="N22" i="7941"/>
  <c r="O451" i="18"/>
  <c r="O679" i="18" s="1"/>
  <c r="N19" i="7941"/>
  <c r="N303" i="18"/>
  <c r="N651" i="18" s="1"/>
  <c r="N521" i="18" s="1"/>
  <c r="N90" i="7941" s="1"/>
  <c r="N10" i="7941"/>
  <c r="N342" i="18"/>
  <c r="N654" i="18" s="1"/>
  <c r="N524" i="18" s="1"/>
  <c r="N93" i="7941" s="1"/>
  <c r="N224" i="7941"/>
  <c r="N95" i="18"/>
  <c r="N635" i="18" s="1"/>
  <c r="N505" i="18" s="1"/>
  <c r="N74" i="7941" s="1"/>
  <c r="N28" i="7941"/>
  <c r="N205" i="7941"/>
  <c r="N407" i="18"/>
  <c r="N659" i="18" s="1"/>
  <c r="N529" i="18" s="1"/>
  <c r="N98" i="7941" s="1"/>
  <c r="N221" i="7941"/>
  <c r="N56" i="18"/>
  <c r="N212" i="7941"/>
  <c r="O440" i="18"/>
  <c r="O668" i="18" s="1"/>
  <c r="N199" i="18"/>
  <c r="N643" i="18" s="1"/>
  <c r="N513" i="18" s="1"/>
  <c r="N82" i="7941" s="1"/>
  <c r="N219" i="7941"/>
  <c r="N290" i="18"/>
  <c r="N650" i="18" s="1"/>
  <c r="N520" i="18" s="1"/>
  <c r="N89" i="7941" s="1"/>
  <c r="N217" i="7941"/>
  <c r="N69" i="18"/>
  <c r="N633" i="18" s="1"/>
  <c r="N503" i="18" s="1"/>
  <c r="N72" i="7941" s="1"/>
  <c r="N36" i="7941"/>
  <c r="O454" i="18"/>
  <c r="O682" i="18" s="1"/>
  <c r="N13" i="7941"/>
  <c r="N201" i="7941"/>
  <c r="O443" i="18"/>
  <c r="O671" i="18" s="1"/>
  <c r="N18" i="7941"/>
  <c r="N264" i="18"/>
  <c r="N648" i="18" s="1"/>
  <c r="N518" i="18" s="1"/>
  <c r="N87" i="7941" s="1"/>
  <c r="O450" i="18"/>
  <c r="O678" i="18" s="1"/>
  <c r="N134" i="18"/>
  <c r="N638" i="18" s="1"/>
  <c r="N508" i="18" s="1"/>
  <c r="N77" i="7941" s="1"/>
  <c r="N15" i="7941"/>
  <c r="N225" i="18"/>
  <c r="N645" i="18" s="1"/>
  <c r="N515" i="18" s="1"/>
  <c r="N84" i="7941" s="1"/>
  <c r="N206" i="7941"/>
  <c r="N17" i="7941"/>
  <c r="N238" i="18"/>
  <c r="N646" i="18" s="1"/>
  <c r="N516" i="18" s="1"/>
  <c r="N85" i="7941" s="1"/>
  <c r="N227" i="7941"/>
  <c r="N186" i="18"/>
  <c r="N642" i="18" s="1"/>
  <c r="N512" i="18" s="1"/>
  <c r="N81" i="7941" s="1"/>
  <c r="O449" i="18"/>
  <c r="O677" i="18" s="1"/>
  <c r="N23" i="7941"/>
  <c r="O461" i="18"/>
  <c r="O689" i="18" s="1"/>
  <c r="O463" i="18"/>
  <c r="O691" i="18" s="1"/>
  <c r="N210" i="7941"/>
  <c r="N368" i="18"/>
  <c r="N656" i="18" s="1"/>
  <c r="N526" i="18" s="1"/>
  <c r="N95" i="7941" s="1"/>
  <c r="N209" i="7941"/>
  <c r="N223" i="7941"/>
  <c r="O462" i="18"/>
  <c r="O690" i="18" s="1"/>
  <c r="N202" i="7941"/>
  <c r="N14" i="7941"/>
  <c r="N228" i="7941"/>
  <c r="N433" i="18"/>
  <c r="N661" i="18" s="1"/>
  <c r="N531" i="18" s="1"/>
  <c r="N100" i="7941" s="1"/>
  <c r="N8" i="7941"/>
  <c r="O455" i="18"/>
  <c r="O683" i="18" s="1"/>
  <c r="O458" i="18"/>
  <c r="O686" i="18" s="1"/>
  <c r="N9" i="7941"/>
  <c r="N212" i="18"/>
  <c r="N644" i="18" s="1"/>
  <c r="N514" i="18" s="1"/>
  <c r="N83" i="7941" s="1"/>
  <c r="N208" i="7941"/>
  <c r="N108" i="18"/>
  <c r="N636" i="18" s="1"/>
  <c r="N506" i="18" s="1"/>
  <c r="N75" i="7941" s="1"/>
  <c r="O465" i="18"/>
  <c r="O693" i="18" s="1"/>
  <c r="N82" i="18"/>
  <c r="N634" i="18" s="1"/>
  <c r="N504" i="18" s="1"/>
  <c r="N73" i="7941" s="1"/>
  <c r="N16" i="7941"/>
  <c r="N215" i="7941"/>
  <c r="N381" i="18"/>
  <c r="N657" i="18" s="1"/>
  <c r="N527" i="18" s="1"/>
  <c r="N96" i="7941" s="1"/>
  <c r="N200" i="7941"/>
  <c r="O456" i="18"/>
  <c r="O684" i="18" s="1"/>
  <c r="N31" i="7941"/>
  <c r="N222" i="7941"/>
  <c r="N173" i="18"/>
  <c r="N641" i="18" s="1"/>
  <c r="N511" i="18" s="1"/>
  <c r="N80" i="7941" s="1"/>
  <c r="O453" i="18"/>
  <c r="O681" i="18" s="1"/>
  <c r="N251" i="18"/>
  <c r="N647" i="18" s="1"/>
  <c r="N517" i="18" s="1"/>
  <c r="N86" i="7941" s="1"/>
  <c r="N26" i="7941"/>
  <c r="O446" i="18"/>
  <c r="O674" i="18" s="1"/>
  <c r="N220" i="7941"/>
  <c r="N11" i="7941"/>
  <c r="O441" i="18"/>
  <c r="O669" i="18" s="1"/>
  <c r="O452" i="18"/>
  <c r="O680" i="18" s="1"/>
  <c r="O447" i="18"/>
  <c r="O675" i="18" s="1"/>
  <c r="N225" i="7941"/>
  <c r="N329" i="18"/>
  <c r="N653" i="18" s="1"/>
  <c r="N523" i="18" s="1"/>
  <c r="N92" i="7941" s="1"/>
  <c r="N27" i="7941"/>
  <c r="N7" i="7941"/>
  <c r="N35" i="7941"/>
  <c r="N277" i="18"/>
  <c r="N649" i="18" s="1"/>
  <c r="N519" i="18" s="1"/>
  <c r="N88" i="7941" s="1"/>
  <c r="N226" i="7941"/>
  <c r="N203" i="7941"/>
  <c r="N420" i="18"/>
  <c r="N660" i="18" s="1"/>
  <c r="N530" i="18" s="1"/>
  <c r="N99" i="7941" s="1"/>
  <c r="N214" i="7941"/>
  <c r="N147" i="18"/>
  <c r="N639" i="18" s="1"/>
  <c r="N509" i="18" s="1"/>
  <c r="N78" i="7941" s="1"/>
  <c r="O442" i="18"/>
  <c r="O670" i="18" s="1"/>
  <c r="N207" i="7941"/>
  <c r="O467" i="18"/>
  <c r="O695" i="18" s="1"/>
  <c r="N30" i="7941"/>
  <c r="O439" i="18"/>
  <c r="O667" i="18" s="1"/>
  <c r="N218" i="7941"/>
  <c r="N29" i="7941"/>
  <c r="N160" i="18"/>
  <c r="N640" i="18" s="1"/>
  <c r="N510" i="18" s="1"/>
  <c r="N79" i="7941" s="1"/>
  <c r="O448" i="18"/>
  <c r="O676" i="18" s="1"/>
  <c r="N213" i="7941"/>
  <c r="N121" i="18"/>
  <c r="N637" i="18" s="1"/>
  <c r="N507" i="18" s="1"/>
  <c r="N76" i="7941" s="1"/>
  <c r="O464" i="18"/>
  <c r="O692" i="18" s="1"/>
  <c r="N24" i="7941"/>
  <c r="O466" i="18"/>
  <c r="O694" i="18" s="1"/>
  <c r="N32" i="7941"/>
  <c r="N316" i="18"/>
  <c r="N652" i="18" s="1"/>
  <c r="N522" i="18" s="1"/>
  <c r="N91" i="7941" s="1"/>
  <c r="N21" i="7941"/>
  <c r="N34" i="7941"/>
  <c r="O460" i="18"/>
  <c r="O688" i="18" s="1"/>
  <c r="N20" i="7941"/>
  <c r="O438" i="18"/>
  <c r="O457" i="18"/>
  <c r="O685" i="18" s="1"/>
  <c r="N204" i="7941"/>
  <c r="O444" i="18"/>
  <c r="O672" i="18" s="1"/>
  <c r="O459" i="18"/>
  <c r="O687" i="18" s="1"/>
  <c r="N355" i="18"/>
  <c r="N655" i="18" s="1"/>
  <c r="N525" i="18" s="1"/>
  <c r="N94" i="7941" s="1"/>
  <c r="N216" i="7941"/>
  <c r="N25" i="7941"/>
  <c r="O495" i="18"/>
  <c r="O64" i="7941" s="1"/>
  <c r="E366" i="7947"/>
  <c r="O19" i="18"/>
  <c r="P144" i="18"/>
  <c r="O20" i="18"/>
  <c r="P157" i="18"/>
  <c r="E212" i="7947"/>
  <c r="O484" i="18"/>
  <c r="O53" i="7941" s="1"/>
  <c r="O491" i="18"/>
  <c r="O60" i="7941" s="1"/>
  <c r="E310" i="7947"/>
  <c r="E338" i="7947"/>
  <c r="O493" i="18"/>
  <c r="O62" i="7941" s="1"/>
  <c r="O481" i="18"/>
  <c r="O50" i="7941" s="1"/>
  <c r="E170" i="7947"/>
  <c r="E408" i="7947"/>
  <c r="O498" i="18"/>
  <c r="O67" i="7941" s="1"/>
  <c r="Q153" i="7942"/>
  <c r="Q285" i="7941" s="1"/>
  <c r="P153" i="7942"/>
  <c r="P288" i="7942"/>
  <c r="Q288" i="7942"/>
  <c r="Q336" i="7941" s="1"/>
  <c r="M6" i="7941"/>
  <c r="O296" i="7942"/>
  <c r="Q295" i="7942"/>
  <c r="P309" i="7942"/>
  <c r="P284" i="7942"/>
  <c r="Q284" i="7942"/>
  <c r="Q334" i="7941" s="1"/>
  <c r="K28" i="7947"/>
  <c r="I28" i="7947"/>
  <c r="J28" i="7947"/>
  <c r="H28" i="7947"/>
  <c r="L28" i="7947"/>
  <c r="L459" i="18"/>
  <c r="Q300" i="7942"/>
  <c r="Q342" i="7941" s="1"/>
  <c r="P300" i="7942"/>
  <c r="Q315" i="7942"/>
  <c r="Q302" i="7942"/>
  <c r="Q343" i="7941" s="1"/>
  <c r="P302" i="7942"/>
  <c r="N474" i="18"/>
  <c r="N43" i="7941" s="1"/>
  <c r="E71" i="7947"/>
  <c r="O17" i="18"/>
  <c r="P118" i="18"/>
  <c r="O16" i="18"/>
  <c r="P105" i="18"/>
  <c r="E422" i="7947"/>
  <c r="O499" i="18"/>
  <c r="O68" i="7941" s="1"/>
  <c r="O490" i="18"/>
  <c r="O59" i="7941" s="1"/>
  <c r="E296" i="7947"/>
  <c r="O494" i="18"/>
  <c r="O63" i="7941" s="1"/>
  <c r="E352" i="7947"/>
  <c r="O492" i="18"/>
  <c r="O61" i="7941" s="1"/>
  <c r="E324" i="7947"/>
  <c r="P171" i="1"/>
  <c r="P40" i="18" s="1"/>
  <c r="P158" i="1"/>
  <c r="P27" i="18" s="1"/>
  <c r="P165" i="1"/>
  <c r="P34" i="18" s="1"/>
  <c r="P154" i="1"/>
  <c r="P23" i="18" s="1"/>
  <c r="P156" i="1"/>
  <c r="P25" i="18" s="1"/>
  <c r="P145" i="1"/>
  <c r="P14" i="18" s="1"/>
  <c r="P163" i="1"/>
  <c r="P32" i="18" s="1"/>
  <c r="P146" i="1"/>
  <c r="P15" i="18" s="1"/>
  <c r="P144" i="1"/>
  <c r="P157" i="1"/>
  <c r="P26" i="18" s="1"/>
  <c r="P172" i="1"/>
  <c r="P41" i="18" s="1"/>
  <c r="P159" i="1"/>
  <c r="P28" i="18" s="1"/>
  <c r="P168" i="1"/>
  <c r="P37" i="18" s="1"/>
  <c r="P149" i="1"/>
  <c r="P162" i="1"/>
  <c r="P31" i="18" s="1"/>
  <c r="P148" i="1"/>
  <c r="P7" i="18"/>
  <c r="P166" i="1"/>
  <c r="P35" i="18" s="1"/>
  <c r="P167" i="1"/>
  <c r="P36" i="18" s="1"/>
  <c r="P151" i="1"/>
  <c r="P169" i="1"/>
  <c r="P38" i="18" s="1"/>
  <c r="P155" i="1"/>
  <c r="P24" i="18" s="1"/>
  <c r="P150" i="1"/>
  <c r="P160" i="1"/>
  <c r="P29" i="18" s="1"/>
  <c r="P152" i="1"/>
  <c r="P21" i="18" s="1"/>
  <c r="P170" i="1"/>
  <c r="P39" i="18" s="1"/>
  <c r="P147" i="1"/>
  <c r="P153" i="1"/>
  <c r="P22" i="18" s="1"/>
  <c r="P143" i="1"/>
  <c r="P161" i="1"/>
  <c r="P30" i="18" s="1"/>
  <c r="P164" i="1"/>
  <c r="P33" i="18" s="1"/>
  <c r="O473" i="18"/>
  <c r="O42" i="7941" s="1"/>
  <c r="E58" i="7947"/>
  <c r="P125" i="7942"/>
  <c r="Q125" i="7942"/>
  <c r="Q271" i="7941" s="1"/>
  <c r="M443" i="18"/>
  <c r="M671" i="18" s="1"/>
  <c r="M507" i="18" s="1"/>
  <c r="M76" i="7941" s="1"/>
  <c r="L445" i="18"/>
  <c r="L673" i="18" s="1"/>
  <c r="L509" i="18" s="1"/>
  <c r="L78" i="7941" s="1"/>
  <c r="M456" i="18"/>
  <c r="M684" i="18" s="1"/>
  <c r="M520" i="18" s="1"/>
  <c r="M89" i="7941" s="1"/>
  <c r="L670" i="18"/>
  <c r="L506" i="18" s="1"/>
  <c r="L75" i="7941" s="1"/>
  <c r="L203" i="7941" s="1"/>
  <c r="L693" i="18"/>
  <c r="L529" i="18" s="1"/>
  <c r="L98" i="7941" s="1"/>
  <c r="L226" i="7941" s="1"/>
  <c r="M449" i="18"/>
  <c r="M677" i="18" s="1"/>
  <c r="M513" i="18" s="1"/>
  <c r="M82" i="7941" s="1"/>
  <c r="L685" i="18"/>
  <c r="L521" i="18" s="1"/>
  <c r="L90" i="7941" s="1"/>
  <c r="L218" i="7941" s="1"/>
  <c r="L14" i="7941"/>
  <c r="K206" i="7941"/>
  <c r="M450" i="18"/>
  <c r="M678" i="18" s="1"/>
  <c r="M514" i="18" s="1"/>
  <c r="M83" i="7941" s="1"/>
  <c r="M446" i="18"/>
  <c r="M674" i="18" s="1"/>
  <c r="M510" i="18" s="1"/>
  <c r="M79" i="7941" s="1"/>
  <c r="M444" i="18"/>
  <c r="M672" i="18" s="1"/>
  <c r="M508" i="18" s="1"/>
  <c r="M77" i="7941" s="1"/>
  <c r="L451" i="18"/>
  <c r="J668" i="18"/>
  <c r="J437" i="18"/>
  <c r="I70" i="7941"/>
  <c r="J9" i="7941"/>
  <c r="I201" i="7941"/>
  <c r="I198" i="7941" s="1"/>
  <c r="L676" i="18"/>
  <c r="L512" i="18" s="1"/>
  <c r="L81" i="7941" s="1"/>
  <c r="L209" i="7941" s="1"/>
  <c r="K502" i="18"/>
  <c r="K212" i="7941"/>
  <c r="L20" i="7941"/>
  <c r="P98" i="7944" l="1"/>
  <c r="Q34" i="7944"/>
  <c r="P94" i="7944"/>
  <c r="Q30" i="7944" s="1"/>
  <c r="P75" i="7944"/>
  <c r="Q11" i="7944" s="1"/>
  <c r="P97" i="7944"/>
  <c r="Q33" i="7944" s="1"/>
  <c r="P83" i="7944"/>
  <c r="Q19" i="7944" s="1"/>
  <c r="O74" i="7944"/>
  <c r="P10" i="7944" s="1"/>
  <c r="P88" i="7944"/>
  <c r="Q24" i="7944"/>
  <c r="P85" i="7944"/>
  <c r="Q21" i="7944" s="1"/>
  <c r="O99" i="7944"/>
  <c r="P35" i="7944" s="1"/>
  <c r="P84" i="7944"/>
  <c r="Q20" i="7944"/>
  <c r="P76" i="7944"/>
  <c r="Q12" i="7944"/>
  <c r="P159" i="7942"/>
  <c r="Q159" i="7942"/>
  <c r="Q288" i="7941" s="1"/>
  <c r="P110" i="7942"/>
  <c r="N111" i="7942"/>
  <c r="O107" i="7942"/>
  <c r="N168" i="7942" s="1"/>
  <c r="Q110" i="7942"/>
  <c r="P95" i="7944"/>
  <c r="Q31" i="7944"/>
  <c r="P294" i="7942"/>
  <c r="Q294" i="7942"/>
  <c r="Q339" i="7941" s="1"/>
  <c r="Q148" i="7942"/>
  <c r="O149" i="7942"/>
  <c r="N145" i="7942"/>
  <c r="Q144" i="7942"/>
  <c r="Q155" i="7942"/>
  <c r="Q286" i="7941" s="1"/>
  <c r="P155" i="7942"/>
  <c r="M439" i="18"/>
  <c r="M667" i="18" s="1"/>
  <c r="M503" i="18" s="1"/>
  <c r="M72" i="7941" s="1"/>
  <c r="O147" i="7942"/>
  <c r="Q146" i="7942"/>
  <c r="P162" i="7942"/>
  <c r="P156" i="7942"/>
  <c r="O157" i="7942" s="1"/>
  <c r="P165" i="7942"/>
  <c r="Q165" i="7942"/>
  <c r="Q291" i="7941" s="1"/>
  <c r="P128" i="7942"/>
  <c r="Q113" i="7942"/>
  <c r="Q265" i="7941" s="1"/>
  <c r="P113" i="7942"/>
  <c r="P139" i="7942"/>
  <c r="Q139" i="7942"/>
  <c r="Q278" i="7941" s="1"/>
  <c r="Q109" i="7942"/>
  <c r="Q263" i="7941" s="1"/>
  <c r="P109" i="7942"/>
  <c r="Q118" i="7942"/>
  <c r="P77" i="7944"/>
  <c r="Q13" i="7944"/>
  <c r="P80" i="7944"/>
  <c r="Q16" i="7944" s="1"/>
  <c r="P298" i="7942"/>
  <c r="Q298" i="7942"/>
  <c r="Q341" i="7941" s="1"/>
  <c r="P96" i="7944"/>
  <c r="Q32" i="7944"/>
  <c r="P137" i="7942"/>
  <c r="Q137" i="7942"/>
  <c r="Q277" i="7941" s="1"/>
  <c r="Q311" i="7942"/>
  <c r="Q131" i="7942"/>
  <c r="Q274" i="7941" s="1"/>
  <c r="P131" i="7942"/>
  <c r="Q122" i="18"/>
  <c r="Q252" i="18"/>
  <c r="Q131" i="18"/>
  <c r="Q66" i="18"/>
  <c r="Q127" i="18"/>
  <c r="Q156" i="18"/>
  <c r="Q124" i="18"/>
  <c r="Q102" i="18"/>
  <c r="Q130" i="18"/>
  <c r="Q53" i="18"/>
  <c r="Q137" i="18"/>
  <c r="Q138" i="18"/>
  <c r="Q48" i="18"/>
  <c r="Q239" i="18"/>
  <c r="Q369" i="18"/>
  <c r="Q356" i="18"/>
  <c r="Q143" i="18"/>
  <c r="Q59" i="18"/>
  <c r="Q113" i="18"/>
  <c r="Q142" i="18"/>
  <c r="Q408" i="18"/>
  <c r="Q99" i="18"/>
  <c r="Q109" i="18"/>
  <c r="R3" i="18"/>
  <c r="Q44" i="18"/>
  <c r="Q265" i="18"/>
  <c r="Q154" i="18"/>
  <c r="Q61" i="18"/>
  <c r="Q60" i="18"/>
  <c r="Q63" i="18"/>
  <c r="Q155" i="18"/>
  <c r="Q141" i="18"/>
  <c r="Q148" i="18"/>
  <c r="Q187" i="18"/>
  <c r="Q161" i="18"/>
  <c r="Q174" i="18"/>
  <c r="Q83" i="18"/>
  <c r="Q103" i="18"/>
  <c r="Q157" i="18"/>
  <c r="Q129" i="18"/>
  <c r="Q65" i="18"/>
  <c r="Q104" i="18"/>
  <c r="Q151" i="18"/>
  <c r="Q140" i="18"/>
  <c r="Q114" i="18"/>
  <c r="Q128" i="18"/>
  <c r="Q117" i="18"/>
  <c r="Q101" i="18"/>
  <c r="Q100" i="18"/>
  <c r="Q62" i="18"/>
  <c r="Q46" i="18"/>
  <c r="Q112" i="18"/>
  <c r="Q291" i="18"/>
  <c r="Q304" i="18"/>
  <c r="Q382" i="18"/>
  <c r="Q330" i="18"/>
  <c r="Q135" i="18"/>
  <c r="Q116" i="18"/>
  <c r="Q64" i="18"/>
  <c r="Q278" i="18"/>
  <c r="Q152" i="18"/>
  <c r="Q139" i="18"/>
  <c r="Q50" i="18"/>
  <c r="Q98" i="18"/>
  <c r="Q49" i="18"/>
  <c r="Q111" i="18"/>
  <c r="Q395" i="18"/>
  <c r="Q213" i="18"/>
  <c r="Q343" i="18"/>
  <c r="Q200" i="18"/>
  <c r="Q421" i="18"/>
  <c r="Q317" i="18"/>
  <c r="Q144" i="18"/>
  <c r="Q57" i="18"/>
  <c r="Q153" i="18"/>
  <c r="Q125" i="18"/>
  <c r="Q126" i="18"/>
  <c r="Q115" i="18"/>
  <c r="Q226" i="18"/>
  <c r="Q52" i="18"/>
  <c r="Q150" i="18"/>
  <c r="Q51" i="18"/>
  <c r="Q47" i="18"/>
  <c r="P135" i="7942"/>
  <c r="Q135" i="7942"/>
  <c r="Q276" i="7941" s="1"/>
  <c r="L200" i="7941"/>
  <c r="Q92" i="7944"/>
  <c r="R28" i="7944" s="1"/>
  <c r="Q86" i="7944"/>
  <c r="R22" i="7944"/>
  <c r="P89" i="7944"/>
  <c r="Q25" i="7944" s="1"/>
  <c r="P82" i="7944"/>
  <c r="Q18" i="7944" s="1"/>
  <c r="Q156" i="7942"/>
  <c r="L458" i="18"/>
  <c r="O121" i="7942"/>
  <c r="Q120" i="7942"/>
  <c r="Q140" i="7942"/>
  <c r="Q160" i="7942"/>
  <c r="O151" i="7942"/>
  <c r="Q150" i="7942"/>
  <c r="P133" i="7942"/>
  <c r="Q133" i="7942"/>
  <c r="Q275" i="7941" s="1"/>
  <c r="N328" i="7942"/>
  <c r="Q327" i="7942"/>
  <c r="M9" i="7944"/>
  <c r="P306" i="7942"/>
  <c r="Q306" i="7942"/>
  <c r="Q345" i="7941" s="1"/>
  <c r="O117" i="7942"/>
  <c r="Q116" i="7942"/>
  <c r="P122" i="7942"/>
  <c r="P166" i="7942"/>
  <c r="L686" i="18"/>
  <c r="L522" i="18" s="1"/>
  <c r="L91" i="7941" s="1"/>
  <c r="M458" i="18"/>
  <c r="M686" i="18" s="1"/>
  <c r="M522" i="18" s="1"/>
  <c r="M91" i="7941" s="1"/>
  <c r="L27" i="7941"/>
  <c r="K219" i="7941"/>
  <c r="P16" i="18"/>
  <c r="Q106" i="18"/>
  <c r="P19" i="18"/>
  <c r="Q145" i="18"/>
  <c r="P494" i="18"/>
  <c r="P63" i="7941" s="1"/>
  <c r="E353" i="7947"/>
  <c r="E283" i="7947"/>
  <c r="P489" i="18"/>
  <c r="P58" i="7941" s="1"/>
  <c r="P499" i="18"/>
  <c r="P68" i="7941" s="1"/>
  <c r="E423" i="7947"/>
  <c r="P490" i="18"/>
  <c r="P59" i="7941" s="1"/>
  <c r="E297" i="7947"/>
  <c r="Q169" i="1"/>
  <c r="Q38" i="18" s="1"/>
  <c r="Q159" i="1"/>
  <c r="Q28" i="18" s="1"/>
  <c r="Q160" i="1"/>
  <c r="Q29" i="18" s="1"/>
  <c r="Q154" i="1"/>
  <c r="Q23" i="18" s="1"/>
  <c r="Q164" i="1"/>
  <c r="Q33" i="18" s="1"/>
  <c r="Q156" i="1"/>
  <c r="Q25" i="18" s="1"/>
  <c r="Q145" i="1"/>
  <c r="Q14" i="18" s="1"/>
  <c r="Q157" i="1"/>
  <c r="Q26" i="18" s="1"/>
  <c r="Q172" i="1"/>
  <c r="Q41" i="18" s="1"/>
  <c r="Q168" i="1"/>
  <c r="Q37" i="18" s="1"/>
  <c r="Q163" i="1"/>
  <c r="Q32" i="18" s="1"/>
  <c r="Q161" i="1"/>
  <c r="Q30" i="18" s="1"/>
  <c r="Q171" i="1"/>
  <c r="Q40" i="18" s="1"/>
  <c r="Q166" i="1"/>
  <c r="Q35" i="18" s="1"/>
  <c r="Q170" i="1"/>
  <c r="Q39" i="18" s="1"/>
  <c r="Q155" i="1"/>
  <c r="Q24" i="18" s="1"/>
  <c r="Q7" i="18"/>
  <c r="Q144" i="1"/>
  <c r="Q13" i="18" s="1"/>
  <c r="Q152" i="1"/>
  <c r="Q21" i="18" s="1"/>
  <c r="Q147" i="1"/>
  <c r="Q16" i="18" s="1"/>
  <c r="Q153" i="1"/>
  <c r="Q22" i="18" s="1"/>
  <c r="Q143" i="1"/>
  <c r="Q146" i="1"/>
  <c r="Q15" i="18" s="1"/>
  <c r="Q148" i="1"/>
  <c r="Q17" i="18" s="1"/>
  <c r="Q167" i="1"/>
  <c r="Q36" i="18" s="1"/>
  <c r="Q150" i="1"/>
  <c r="Q19" i="18" s="1"/>
  <c r="Q165" i="1"/>
  <c r="Q34" i="18" s="1"/>
  <c r="Q151" i="1"/>
  <c r="Q20" i="18" s="1"/>
  <c r="Q162" i="1"/>
  <c r="Q31" i="18" s="1"/>
  <c r="Q149" i="1"/>
  <c r="Q18" i="18" s="1"/>
  <c r="Q158" i="1"/>
  <c r="Q27" i="18" s="1"/>
  <c r="F71" i="7947"/>
  <c r="L687" i="18"/>
  <c r="L523" i="18" s="1"/>
  <c r="L92" i="7941" s="1"/>
  <c r="P296" i="7942"/>
  <c r="Q296" i="7942"/>
  <c r="Q340" i="7941" s="1"/>
  <c r="F113" i="7947"/>
  <c r="P270" i="7942"/>
  <c r="Q270" i="7942"/>
  <c r="Q327" i="7941" s="1"/>
  <c r="O23" i="7941"/>
  <c r="O433" i="18"/>
  <c r="O661" i="18" s="1"/>
  <c r="O531" i="18" s="1"/>
  <c r="O100" i="7941" s="1"/>
  <c r="O27" i="7941"/>
  <c r="O35" i="7941"/>
  <c r="O186" i="18"/>
  <c r="O642" i="18" s="1"/>
  <c r="O512" i="18" s="1"/>
  <c r="O81" i="7941" s="1"/>
  <c r="O342" i="18"/>
  <c r="O654" i="18" s="1"/>
  <c r="O524" i="18" s="1"/>
  <c r="O93" i="7941" s="1"/>
  <c r="O277" i="18"/>
  <c r="O649" i="18" s="1"/>
  <c r="O519" i="18" s="1"/>
  <c r="O88" i="7941" s="1"/>
  <c r="P440" i="18"/>
  <c r="P668" i="18" s="1"/>
  <c r="P460" i="18"/>
  <c r="P688" i="18" s="1"/>
  <c r="O208" i="7941"/>
  <c r="P461" i="18"/>
  <c r="P689" i="18" s="1"/>
  <c r="O30" i="7941"/>
  <c r="O21" i="7941"/>
  <c r="P457" i="18"/>
  <c r="P685" i="18" s="1"/>
  <c r="O121" i="18"/>
  <c r="O637" i="18" s="1"/>
  <c r="O507" i="18" s="1"/>
  <c r="O76" i="7941" s="1"/>
  <c r="O25" i="7941"/>
  <c r="O147" i="18"/>
  <c r="O639" i="18" s="1"/>
  <c r="O509" i="18" s="1"/>
  <c r="O78" i="7941" s="1"/>
  <c r="P455" i="18"/>
  <c r="P683" i="18" s="1"/>
  <c r="O18" i="7941"/>
  <c r="O219" i="7941"/>
  <c r="O211" i="7941"/>
  <c r="O290" i="18"/>
  <c r="O650" i="18" s="1"/>
  <c r="O520" i="18" s="1"/>
  <c r="O89" i="7941" s="1"/>
  <c r="O238" i="18"/>
  <c r="O646" i="18" s="1"/>
  <c r="O516" i="18" s="1"/>
  <c r="O85" i="7941" s="1"/>
  <c r="P439" i="18"/>
  <c r="P667" i="18" s="1"/>
  <c r="P452" i="18"/>
  <c r="P680" i="18" s="1"/>
  <c r="P444" i="18"/>
  <c r="P672" i="18" s="1"/>
  <c r="O228" i="7941"/>
  <c r="O173" i="18"/>
  <c r="O641" i="18" s="1"/>
  <c r="O511" i="18" s="1"/>
  <c r="O80" i="7941" s="1"/>
  <c r="O221" i="7941"/>
  <c r="P450" i="18"/>
  <c r="P678" i="18" s="1"/>
  <c r="P449" i="18"/>
  <c r="P677" i="18" s="1"/>
  <c r="P443" i="18"/>
  <c r="P671" i="18" s="1"/>
  <c r="O8" i="7941"/>
  <c r="O134" i="18"/>
  <c r="O638" i="18" s="1"/>
  <c r="O508" i="18" s="1"/>
  <c r="O77" i="7941" s="1"/>
  <c r="O11" i="7941"/>
  <c r="P442" i="18"/>
  <c r="P670" i="18" s="1"/>
  <c r="O316" i="18"/>
  <c r="O652" i="18" s="1"/>
  <c r="O522" i="18" s="1"/>
  <c r="O91" i="7941" s="1"/>
  <c r="O108" i="18"/>
  <c r="O636" i="18" s="1"/>
  <c r="O506" i="18" s="1"/>
  <c r="O75" i="7941" s="1"/>
  <c r="O17" i="7941"/>
  <c r="P458" i="18"/>
  <c r="P686" i="18" s="1"/>
  <c r="O28" i="7941"/>
  <c r="O7" i="7941"/>
  <c r="O329" i="18"/>
  <c r="O653" i="18" s="1"/>
  <c r="O523" i="18" s="1"/>
  <c r="O92" i="7941" s="1"/>
  <c r="O32" i="7941"/>
  <c r="O95" i="18"/>
  <c r="O635" i="18" s="1"/>
  <c r="O505" i="18" s="1"/>
  <c r="O74" i="7941" s="1"/>
  <c r="O34" i="7941"/>
  <c r="O217" i="7941"/>
  <c r="O381" i="18"/>
  <c r="O657" i="18" s="1"/>
  <c r="O527" i="18" s="1"/>
  <c r="O96" i="7941" s="1"/>
  <c r="O251" i="18"/>
  <c r="O647" i="18" s="1"/>
  <c r="O517" i="18" s="1"/>
  <c r="O86" i="7941" s="1"/>
  <c r="O33" i="7941"/>
  <c r="O16" i="7941"/>
  <c r="O207" i="7941"/>
  <c r="O24" i="7941"/>
  <c r="O204" i="7941"/>
  <c r="O214" i="7941"/>
  <c r="P465" i="18"/>
  <c r="P693" i="18" s="1"/>
  <c r="P453" i="18"/>
  <c r="P681" i="18" s="1"/>
  <c r="P462" i="18"/>
  <c r="P690" i="18" s="1"/>
  <c r="O224" i="7941"/>
  <c r="O36" i="7941"/>
  <c r="P464" i="18"/>
  <c r="P692" i="18" s="1"/>
  <c r="O213" i="7941"/>
  <c r="O209" i="7941"/>
  <c r="O199" i="18"/>
  <c r="O643" i="18" s="1"/>
  <c r="O513" i="18" s="1"/>
  <c r="O82" i="7941" s="1"/>
  <c r="O69" i="18"/>
  <c r="O633" i="18" s="1"/>
  <c r="O503" i="18" s="1"/>
  <c r="O72" i="7941" s="1"/>
  <c r="P456" i="18"/>
  <c r="P684" i="18" s="1"/>
  <c r="O22" i="7941"/>
  <c r="O56" i="18"/>
  <c r="P447" i="18"/>
  <c r="P675" i="18" s="1"/>
  <c r="P467" i="18"/>
  <c r="P695" i="18" s="1"/>
  <c r="O303" i="18"/>
  <c r="O651" i="18" s="1"/>
  <c r="O521" i="18" s="1"/>
  <c r="O90" i="7941" s="1"/>
  <c r="O203" i="7941"/>
  <c r="O31" i="7941"/>
  <c r="O218" i="7941"/>
  <c r="O215" i="7941"/>
  <c r="P445" i="18"/>
  <c r="P673" i="18" s="1"/>
  <c r="O210" i="7941"/>
  <c r="O19" i="7941"/>
  <c r="O212" i="18"/>
  <c r="O644" i="18" s="1"/>
  <c r="O514" i="18" s="1"/>
  <c r="O83" i="7941" s="1"/>
  <c r="O420" i="18"/>
  <c r="O660" i="18" s="1"/>
  <c r="O530" i="18" s="1"/>
  <c r="O99" i="7941" s="1"/>
  <c r="P446" i="18"/>
  <c r="P674" i="18" s="1"/>
  <c r="P448" i="18"/>
  <c r="P676" i="18" s="1"/>
  <c r="O216" i="7941"/>
  <c r="O227" i="7941"/>
  <c r="O200" i="7941"/>
  <c r="O205" i="7941"/>
  <c r="O225" i="7941"/>
  <c r="O15" i="7941"/>
  <c r="P463" i="18"/>
  <c r="P691" i="18" s="1"/>
  <c r="O368" i="18"/>
  <c r="O656" i="18" s="1"/>
  <c r="O526" i="18" s="1"/>
  <c r="O95" i="7941" s="1"/>
  <c r="O206" i="7941"/>
  <c r="P451" i="18"/>
  <c r="P679" i="18" s="1"/>
  <c r="O14" i="7941"/>
  <c r="O26" i="7941"/>
  <c r="O222" i="7941"/>
  <c r="P466" i="18"/>
  <c r="P694" i="18" s="1"/>
  <c r="O201" i="7941"/>
  <c r="O20" i="7941"/>
  <c r="P441" i="18"/>
  <c r="P669" i="18" s="1"/>
  <c r="O223" i="7941"/>
  <c r="O212" i="7941"/>
  <c r="O355" i="18"/>
  <c r="O655" i="18" s="1"/>
  <c r="O525" i="18" s="1"/>
  <c r="O94" i="7941" s="1"/>
  <c r="O9" i="7941"/>
  <c r="O407" i="18"/>
  <c r="O659" i="18" s="1"/>
  <c r="O529" i="18" s="1"/>
  <c r="O98" i="7941" s="1"/>
  <c r="O394" i="18"/>
  <c r="O658" i="18" s="1"/>
  <c r="O528" i="18" s="1"/>
  <c r="O97" i="7941" s="1"/>
  <c r="O10" i="7941"/>
  <c r="O220" i="7941"/>
  <c r="P438" i="18"/>
  <c r="O12" i="7941"/>
  <c r="O226" i="7941"/>
  <c r="O82" i="18"/>
  <c r="O634" i="18" s="1"/>
  <c r="O504" i="18" s="1"/>
  <c r="O73" i="7941" s="1"/>
  <c r="P454" i="18"/>
  <c r="P682" i="18" s="1"/>
  <c r="P459" i="18"/>
  <c r="P687" i="18" s="1"/>
  <c r="O225" i="18"/>
  <c r="O645" i="18" s="1"/>
  <c r="O515" i="18" s="1"/>
  <c r="O84" i="7941" s="1"/>
  <c r="O202" i="7941"/>
  <c r="O199" i="7941"/>
  <c r="O13" i="7941"/>
  <c r="O160" i="18"/>
  <c r="O640" i="18" s="1"/>
  <c r="O510" i="18" s="1"/>
  <c r="O79" i="7941" s="1"/>
  <c r="O264" i="18"/>
  <c r="O648" i="18" s="1"/>
  <c r="O518" i="18" s="1"/>
  <c r="O87" i="7941" s="1"/>
  <c r="O29" i="7941"/>
  <c r="F127" i="7947"/>
  <c r="Q322" i="7942"/>
  <c r="Q353" i="7941" s="1"/>
  <c r="P322" i="7942"/>
  <c r="E311" i="7947"/>
  <c r="P491" i="18"/>
  <c r="P60" i="7941" s="1"/>
  <c r="E269" i="7947"/>
  <c r="P488" i="18"/>
  <c r="P57" i="7941" s="1"/>
  <c r="P497" i="18"/>
  <c r="P66" i="7941" s="1"/>
  <c r="E395" i="7947"/>
  <c r="E185" i="7947"/>
  <c r="P482" i="18"/>
  <c r="P51" i="7941" s="1"/>
  <c r="P493" i="18"/>
  <c r="P62" i="7941" s="1"/>
  <c r="E339" i="7947"/>
  <c r="P18" i="18"/>
  <c r="Q132" i="18"/>
  <c r="P484" i="18"/>
  <c r="P53" i="7941" s="1"/>
  <c r="E213" i="7947"/>
  <c r="E45" i="7947"/>
  <c r="P472" i="18"/>
  <c r="P41" i="7941" s="1"/>
  <c r="E325" i="7947"/>
  <c r="P492" i="18"/>
  <c r="P61" i="7941" s="1"/>
  <c r="O474" i="18"/>
  <c r="O43" i="7941" s="1"/>
  <c r="E72" i="7947"/>
  <c r="F72" i="7947" s="1"/>
  <c r="E114" i="7947"/>
  <c r="F114" i="7947" s="1"/>
  <c r="O477" i="18"/>
  <c r="O46" i="7941" s="1"/>
  <c r="N43" i="18"/>
  <c r="N632" i="18"/>
  <c r="M112" i="7947"/>
  <c r="O270" i="7942"/>
  <c r="P268" i="7942"/>
  <c r="O329" i="7942" s="1"/>
  <c r="I99" i="7947"/>
  <c r="J99" i="7947"/>
  <c r="H99" i="7947"/>
  <c r="L99" i="7947"/>
  <c r="K99" i="7947"/>
  <c r="N469" i="18"/>
  <c r="N39" i="7941"/>
  <c r="N38" i="7941" s="1"/>
  <c r="L85" i="7947"/>
  <c r="K85" i="7947"/>
  <c r="H85" i="7947"/>
  <c r="J85" i="7947"/>
  <c r="I85" i="7947"/>
  <c r="P115" i="7942"/>
  <c r="Q115" i="7942"/>
  <c r="Q266" i="7941" s="1"/>
  <c r="P282" i="7942"/>
  <c r="Q282" i="7942"/>
  <c r="Q333" i="7941" s="1"/>
  <c r="E100" i="7947"/>
  <c r="F100" i="7947" s="1"/>
  <c r="O476" i="18"/>
  <c r="O45" i="7941" s="1"/>
  <c r="Q37" i="7944"/>
  <c r="P12" i="18"/>
  <c r="P173" i="1"/>
  <c r="Q54" i="18"/>
  <c r="P479" i="18"/>
  <c r="P48" i="7941" s="1"/>
  <c r="E143" i="7947"/>
  <c r="P496" i="18"/>
  <c r="P65" i="7941" s="1"/>
  <c r="E381" i="7947"/>
  <c r="P495" i="18"/>
  <c r="P64" i="7941" s="1"/>
  <c r="E367" i="7947"/>
  <c r="P13" i="18"/>
  <c r="Q67" i="18"/>
  <c r="P483" i="18"/>
  <c r="P52" i="7941" s="1"/>
  <c r="E199" i="7947"/>
  <c r="P485" i="18"/>
  <c r="P54" i="7941" s="1"/>
  <c r="E227" i="7947"/>
  <c r="O310" i="7942"/>
  <c r="Q309" i="7942"/>
  <c r="Q268" i="7942" s="1"/>
  <c r="N198" i="7941"/>
  <c r="M126" i="7947"/>
  <c r="Q324" i="7942"/>
  <c r="Q354" i="7941" s="1"/>
  <c r="P324" i="7942"/>
  <c r="M255" i="7941"/>
  <c r="L332" i="7941"/>
  <c r="M303" i="7941"/>
  <c r="L347" i="7941"/>
  <c r="M321" i="7941"/>
  <c r="L349" i="7941"/>
  <c r="M299" i="7941"/>
  <c r="M323" i="7941"/>
  <c r="L329" i="7941"/>
  <c r="M317" i="7941"/>
  <c r="L339" i="7941"/>
  <c r="M309" i="7941"/>
  <c r="M238" i="7941"/>
  <c r="L356" i="7941"/>
  <c r="L345" i="7941"/>
  <c r="L335" i="7941"/>
  <c r="M324" i="7941"/>
  <c r="M233" i="7941"/>
  <c r="M320" i="7941"/>
  <c r="L268" i="7941"/>
  <c r="M257" i="7941"/>
  <c r="M243" i="7941"/>
  <c r="M256" i="7941"/>
  <c r="M302" i="7941"/>
  <c r="M232" i="7941"/>
  <c r="L286" i="7941"/>
  <c r="L266" i="7941"/>
  <c r="M240" i="7941"/>
  <c r="L273" i="7941"/>
  <c r="L342" i="7941"/>
  <c r="M295" i="7941"/>
  <c r="L278" i="7941"/>
  <c r="L350" i="7941"/>
  <c r="L348" i="7941"/>
  <c r="M237" i="7941"/>
  <c r="M315" i="7941"/>
  <c r="L346" i="7941"/>
  <c r="M308" i="7941"/>
  <c r="L333" i="7941"/>
  <c r="M241" i="7941"/>
  <c r="M251" i="7941"/>
  <c r="M306" i="7941"/>
  <c r="L272" i="7941"/>
  <c r="M312" i="7941"/>
  <c r="M297" i="7941"/>
  <c r="L275" i="7941"/>
  <c r="L334" i="7941"/>
  <c r="M311" i="7941"/>
  <c r="M236" i="7941"/>
  <c r="M234" i="7941"/>
  <c r="M298" i="7941"/>
  <c r="M259" i="7941"/>
  <c r="M313" i="7941"/>
  <c r="L265" i="7941"/>
  <c r="M254" i="7941"/>
  <c r="L289" i="7941"/>
  <c r="L276" i="7941"/>
  <c r="M305" i="7941"/>
  <c r="M258" i="7941"/>
  <c r="M250" i="7941"/>
  <c r="M244" i="7941"/>
  <c r="L341" i="7941"/>
  <c r="L270" i="7941"/>
  <c r="L351" i="7941"/>
  <c r="L344" i="7941"/>
  <c r="M307" i="7941"/>
  <c r="M310" i="7941"/>
  <c r="L280" i="7941"/>
  <c r="M260" i="7941"/>
  <c r="M247" i="7941"/>
  <c r="L288" i="7941"/>
  <c r="L340" i="7941"/>
  <c r="L338" i="7941"/>
  <c r="L352" i="7941"/>
  <c r="M301" i="7941"/>
  <c r="L327" i="7941"/>
  <c r="M253" i="7941"/>
  <c r="M322" i="7941"/>
  <c r="L291" i="7941"/>
  <c r="L354" i="7941"/>
  <c r="L267" i="7941"/>
  <c r="M300" i="7941"/>
  <c r="M248" i="7941"/>
  <c r="M239" i="7941"/>
  <c r="M252" i="7941"/>
  <c r="L337" i="7941"/>
  <c r="L343" i="7941"/>
  <c r="M316" i="7941"/>
  <c r="L355" i="7941"/>
  <c r="M304" i="7941"/>
  <c r="M296" i="7941"/>
  <c r="M318" i="7941"/>
  <c r="L290" i="7941"/>
  <c r="M319" i="7941"/>
  <c r="L336" i="7941"/>
  <c r="M231" i="7941"/>
  <c r="M246" i="7941"/>
  <c r="L328" i="7941"/>
  <c r="M245" i="7941"/>
  <c r="L285" i="7941"/>
  <c r="M249" i="7941"/>
  <c r="L330" i="7941"/>
  <c r="M235" i="7941"/>
  <c r="M314" i="7941"/>
  <c r="L353" i="7941"/>
  <c r="L331" i="7941"/>
  <c r="M242" i="7941"/>
  <c r="L269" i="7941"/>
  <c r="L274" i="7941"/>
  <c r="L277" i="7941"/>
  <c r="L287" i="7941"/>
  <c r="L283" i="7941"/>
  <c r="L292" i="7941"/>
  <c r="L264" i="7941"/>
  <c r="L281" i="7941"/>
  <c r="L279" i="7941"/>
  <c r="L263" i="7941"/>
  <c r="L284" i="7941"/>
  <c r="L282" i="7941"/>
  <c r="L271" i="7941"/>
  <c r="E30" i="7947"/>
  <c r="O471" i="18"/>
  <c r="O40" i="7941" s="1"/>
  <c r="F15" i="7947"/>
  <c r="L220" i="7941"/>
  <c r="H29" i="7947"/>
  <c r="I29" i="7947"/>
  <c r="K29" i="7947"/>
  <c r="L29" i="7947"/>
  <c r="J29" i="7947"/>
  <c r="P480" i="18"/>
  <c r="P49" i="7941" s="1"/>
  <c r="E157" i="7947"/>
  <c r="P487" i="18"/>
  <c r="P56" i="7941" s="1"/>
  <c r="E255" i="7947"/>
  <c r="P20" i="18"/>
  <c r="Q158" i="18"/>
  <c r="P17" i="18"/>
  <c r="Q119" i="18"/>
  <c r="P486" i="18"/>
  <c r="P55" i="7941" s="1"/>
  <c r="E241" i="7947"/>
  <c r="E59" i="7947"/>
  <c r="P473" i="18"/>
  <c r="P42" i="7941" s="1"/>
  <c r="E171" i="7947"/>
  <c r="P481" i="18"/>
  <c r="P50" i="7941" s="1"/>
  <c r="P498" i="18"/>
  <c r="P67" i="7941" s="1"/>
  <c r="E409" i="7947"/>
  <c r="E86" i="7947"/>
  <c r="O475" i="18"/>
  <c r="O44" i="7941" s="1"/>
  <c r="Q316" i="7942"/>
  <c r="Q350" i="7941" s="1"/>
  <c r="P316" i="7942"/>
  <c r="O478" i="18"/>
  <c r="O47" i="7941" s="1"/>
  <c r="E128" i="7947"/>
  <c r="F128" i="7947" s="1"/>
  <c r="O666" i="18"/>
  <c r="O437" i="18"/>
  <c r="N6" i="7941"/>
  <c r="O11" i="18"/>
  <c r="E16" i="7947"/>
  <c r="F16" i="7947" s="1"/>
  <c r="O470" i="18"/>
  <c r="L98" i="7947"/>
  <c r="I98" i="7947"/>
  <c r="K98" i="7947"/>
  <c r="H98" i="7947"/>
  <c r="J98" i="7947"/>
  <c r="P320" i="7942"/>
  <c r="Q320" i="7942"/>
  <c r="Q352" i="7941" s="1"/>
  <c r="M465" i="18"/>
  <c r="M693" i="18" s="1"/>
  <c r="M529" i="18" s="1"/>
  <c r="M98" i="7941" s="1"/>
  <c r="M442" i="18"/>
  <c r="M670" i="18" s="1"/>
  <c r="M506" i="18" s="1"/>
  <c r="M75" i="7941" s="1"/>
  <c r="M445" i="18"/>
  <c r="M673" i="18" s="1"/>
  <c r="M509" i="18" s="1"/>
  <c r="M78" i="7941" s="1"/>
  <c r="K71" i="7941"/>
  <c r="L438" i="18"/>
  <c r="M448" i="18"/>
  <c r="M676" i="18" s="1"/>
  <c r="M512" i="18" s="1"/>
  <c r="M81" i="7941" s="1"/>
  <c r="L679" i="18"/>
  <c r="L515" i="18" s="1"/>
  <c r="L84" i="7941" s="1"/>
  <c r="L212" i="7941" s="1"/>
  <c r="L206" i="7941"/>
  <c r="M457" i="18"/>
  <c r="M685" i="18" s="1"/>
  <c r="M521" i="18" s="1"/>
  <c r="M90" i="7941" s="1"/>
  <c r="J6" i="7941"/>
  <c r="J504" i="18"/>
  <c r="J665" i="18"/>
  <c r="P99" i="7944" l="1"/>
  <c r="Q35" i="7944"/>
  <c r="R30" i="7944"/>
  <c r="Q94" i="7944"/>
  <c r="Q85" i="7944"/>
  <c r="R21" i="7944" s="1"/>
  <c r="Q83" i="7944"/>
  <c r="R19" i="7944" s="1"/>
  <c r="Q89" i="7944"/>
  <c r="R25" i="7944" s="1"/>
  <c r="Q80" i="7944"/>
  <c r="R16" i="7944" s="1"/>
  <c r="Q75" i="7944"/>
  <c r="R11" i="7944"/>
  <c r="P74" i="7944"/>
  <c r="Q10" i="7944" s="1"/>
  <c r="Q82" i="7944"/>
  <c r="R18" i="7944" s="1"/>
  <c r="Q97" i="7944"/>
  <c r="R33" i="7944" s="1"/>
  <c r="O123" i="7942"/>
  <c r="Q122" i="7942"/>
  <c r="P157" i="7942"/>
  <c r="Q157" i="7942"/>
  <c r="Q287" i="7941" s="1"/>
  <c r="M73" i="7944"/>
  <c r="M71" i="7944" s="1"/>
  <c r="E32" i="7948"/>
  <c r="F15" i="7948" s="1"/>
  <c r="M15" i="7952" s="1"/>
  <c r="M7" i="7944"/>
  <c r="Q161" i="7942"/>
  <c r="Q289" i="7941" s="1"/>
  <c r="P161" i="7942"/>
  <c r="R32" i="7944"/>
  <c r="Q96" i="7944"/>
  <c r="O129" i="7942"/>
  <c r="Q128" i="7942"/>
  <c r="P145" i="7942"/>
  <c r="Q145" i="7942"/>
  <c r="Q281" i="7941" s="1"/>
  <c r="Q149" i="7942"/>
  <c r="Q283" i="7941" s="1"/>
  <c r="P149" i="7942"/>
  <c r="O111" i="7942"/>
  <c r="P107" i="7942"/>
  <c r="O168" i="7942" s="1"/>
  <c r="R20" i="7944"/>
  <c r="Q84" i="7944"/>
  <c r="Q88" i="7944"/>
  <c r="R24" i="7944"/>
  <c r="Q117" i="7942"/>
  <c r="Q267" i="7941" s="1"/>
  <c r="P117" i="7942"/>
  <c r="Q328" i="7942"/>
  <c r="Q356" i="7941" s="1"/>
  <c r="P328" i="7942"/>
  <c r="Q151" i="7942"/>
  <c r="Q284" i="7941" s="1"/>
  <c r="P151" i="7942"/>
  <c r="P141" i="7942"/>
  <c r="Q141" i="7942"/>
  <c r="Q279" i="7941" s="1"/>
  <c r="P312" i="7942"/>
  <c r="Q312" i="7942"/>
  <c r="Q348" i="7941" s="1"/>
  <c r="Q77" i="7944"/>
  <c r="R13" i="7944" s="1"/>
  <c r="Q119" i="7942"/>
  <c r="Q268" i="7941" s="1"/>
  <c r="P119" i="7942"/>
  <c r="O163" i="7942"/>
  <c r="Q162" i="7942"/>
  <c r="Q111" i="7942"/>
  <c r="Q264" i="7941" s="1"/>
  <c r="P111" i="7942"/>
  <c r="Q98" i="7944"/>
  <c r="R34" i="7944"/>
  <c r="O167" i="7942"/>
  <c r="Q166" i="7942"/>
  <c r="Q121" i="7942"/>
  <c r="Q269" i="7941" s="1"/>
  <c r="P121" i="7942"/>
  <c r="Q147" i="7942"/>
  <c r="Q282" i="7941" s="1"/>
  <c r="P147" i="7942"/>
  <c r="Q95" i="7944"/>
  <c r="R31" i="7944"/>
  <c r="Q76" i="7944"/>
  <c r="R12" i="7944" s="1"/>
  <c r="L262" i="7941"/>
  <c r="L219" i="7941"/>
  <c r="O665" i="18"/>
  <c r="N256" i="7941"/>
  <c r="M333" i="7941"/>
  <c r="N245" i="7941"/>
  <c r="N321" i="7941"/>
  <c r="M342" i="7941"/>
  <c r="N238" i="7941"/>
  <c r="N298" i="7941"/>
  <c r="N242" i="7941"/>
  <c r="N302" i="7941"/>
  <c r="N251" i="7941"/>
  <c r="N304" i="7941"/>
  <c r="N249" i="7941"/>
  <c r="M352" i="7941"/>
  <c r="N234" i="7941"/>
  <c r="N311" i="7941"/>
  <c r="M335" i="7941"/>
  <c r="N258" i="7941"/>
  <c r="M291" i="7941"/>
  <c r="M269" i="7941"/>
  <c r="N241" i="7941"/>
  <c r="N303" i="7941"/>
  <c r="M328" i="7941"/>
  <c r="M347" i="7941"/>
  <c r="N322" i="7941"/>
  <c r="M338" i="7941"/>
  <c r="M266" i="7941"/>
  <c r="M362" i="7941" s="1"/>
  <c r="M334" i="7941"/>
  <c r="M329" i="7941"/>
  <c r="N247" i="7941"/>
  <c r="M327" i="7941"/>
  <c r="M332" i="7941"/>
  <c r="N231" i="7941"/>
  <c r="N308" i="7941"/>
  <c r="N246" i="7941"/>
  <c r="N299" i="7941"/>
  <c r="N310" i="7941"/>
  <c r="M336" i="7941"/>
  <c r="N237" i="7941"/>
  <c r="N233" i="7941"/>
  <c r="N317" i="7941"/>
  <c r="N312" i="7941"/>
  <c r="N314" i="7941"/>
  <c r="M346" i="7941"/>
  <c r="N300" i="7941"/>
  <c r="M265" i="7941"/>
  <c r="N244" i="7941"/>
  <c r="N316" i="7941"/>
  <c r="M355" i="7941"/>
  <c r="M387" i="7941" s="1"/>
  <c r="N319" i="7941"/>
  <c r="M341" i="7941"/>
  <c r="N315" i="7941"/>
  <c r="N235" i="7941"/>
  <c r="M344" i="7941"/>
  <c r="M376" i="7941" s="1"/>
  <c r="N324" i="7941"/>
  <c r="M286" i="7941"/>
  <c r="M340" i="7941"/>
  <c r="M350" i="7941"/>
  <c r="M339" i="7941"/>
  <c r="M337" i="7941"/>
  <c r="M273" i="7941"/>
  <c r="M330" i="7941"/>
  <c r="N320" i="7941"/>
  <c r="M356" i="7941"/>
  <c r="N309" i="7941"/>
  <c r="M349" i="7941"/>
  <c r="N240" i="7941"/>
  <c r="M331" i="7941"/>
  <c r="M275" i="7941"/>
  <c r="M371" i="7941" s="1"/>
  <c r="N313" i="7941"/>
  <c r="N236" i="7941"/>
  <c r="N255" i="7941"/>
  <c r="N307" i="7941"/>
  <c r="N323" i="7941"/>
  <c r="N305" i="7941"/>
  <c r="N297" i="7941"/>
  <c r="N306" i="7941"/>
  <c r="M354" i="7941"/>
  <c r="N248" i="7941"/>
  <c r="N318" i="7941"/>
  <c r="N260" i="7941"/>
  <c r="M351" i="7941"/>
  <c r="N250" i="7941"/>
  <c r="M353" i="7941"/>
  <c r="N257" i="7941"/>
  <c r="N252" i="7941"/>
  <c r="N254" i="7941"/>
  <c r="M289" i="7941"/>
  <c r="M385" i="7941" s="1"/>
  <c r="N232" i="7941"/>
  <c r="N253" i="7941"/>
  <c r="M280" i="7941"/>
  <c r="M343" i="7941"/>
  <c r="M348" i="7941"/>
  <c r="N259" i="7941"/>
  <c r="M345" i="7941"/>
  <c r="M267" i="7941"/>
  <c r="M363" i="7941" s="1"/>
  <c r="N243" i="7941"/>
  <c r="N239" i="7941"/>
  <c r="M290" i="7941"/>
  <c r="N295" i="7941"/>
  <c r="N296" i="7941"/>
  <c r="N301" i="7941"/>
  <c r="M268" i="7941"/>
  <c r="M364" i="7941" s="1"/>
  <c r="M263" i="7941"/>
  <c r="M270" i="7941"/>
  <c r="M276" i="7941"/>
  <c r="M287" i="7941"/>
  <c r="M277" i="7941"/>
  <c r="M373" i="7941" s="1"/>
  <c r="M292" i="7941"/>
  <c r="M279" i="7941"/>
  <c r="M281" i="7941"/>
  <c r="M272" i="7941"/>
  <c r="M288" i="7941"/>
  <c r="M384" i="7941" s="1"/>
  <c r="M264" i="7941"/>
  <c r="M360" i="7941" s="1"/>
  <c r="M283" i="7941"/>
  <c r="M379" i="7941" s="1"/>
  <c r="M271" i="7941"/>
  <c r="M367" i="7941" s="1"/>
  <c r="M274" i="7941"/>
  <c r="M370" i="7941" s="1"/>
  <c r="M282" i="7941"/>
  <c r="M284" i="7941"/>
  <c r="M278" i="7941"/>
  <c r="M285" i="7941"/>
  <c r="M381" i="7941" s="1"/>
  <c r="H114" i="7947"/>
  <c r="K114" i="7947"/>
  <c r="L114" i="7947"/>
  <c r="J114" i="7947"/>
  <c r="I114" i="7947"/>
  <c r="E354" i="7947"/>
  <c r="E355" i="7947" s="1"/>
  <c r="Q494" i="18"/>
  <c r="Q63" i="7941" s="1"/>
  <c r="Q498" i="18"/>
  <c r="Q67" i="7941" s="1"/>
  <c r="E410" i="7947"/>
  <c r="E411" i="7947" s="1"/>
  <c r="Q491" i="18"/>
  <c r="Q60" i="7941" s="1"/>
  <c r="E312" i="7947"/>
  <c r="E313" i="7947" s="1"/>
  <c r="L128" i="7947"/>
  <c r="H128" i="7947"/>
  <c r="K128" i="7947"/>
  <c r="J128" i="7947"/>
  <c r="I128" i="7947"/>
  <c r="H100" i="7947"/>
  <c r="L100" i="7947"/>
  <c r="J100" i="7947"/>
  <c r="K100" i="7947"/>
  <c r="I100" i="7947"/>
  <c r="M98" i="7947"/>
  <c r="O39" i="7941"/>
  <c r="O38" i="7941" s="1"/>
  <c r="O469" i="18"/>
  <c r="P310" i="7942"/>
  <c r="Q310" i="7942"/>
  <c r="Q347" i="7941" s="1"/>
  <c r="P11" i="18"/>
  <c r="E17" i="7947"/>
  <c r="F17" i="7947" s="1"/>
  <c r="P470" i="18"/>
  <c r="R37" i="7944"/>
  <c r="M99" i="7947"/>
  <c r="E101" i="7947"/>
  <c r="F101" i="7947" s="1"/>
  <c r="P476" i="18"/>
  <c r="P45" i="7941" s="1"/>
  <c r="O198" i="7941"/>
  <c r="P666" i="18"/>
  <c r="P665" i="18" s="1"/>
  <c r="P437" i="18"/>
  <c r="O632" i="18"/>
  <c r="O631" i="18" s="1"/>
  <c r="O43" i="18"/>
  <c r="Q326" i="7941"/>
  <c r="L113" i="7947"/>
  <c r="H113" i="7947"/>
  <c r="K113" i="7947"/>
  <c r="J113" i="7947"/>
  <c r="I113" i="7947"/>
  <c r="Q476" i="18"/>
  <c r="Q45" i="7941" s="1"/>
  <c r="E102" i="7947"/>
  <c r="F102" i="7947" s="1"/>
  <c r="Q477" i="18"/>
  <c r="Q46" i="7941" s="1"/>
  <c r="E116" i="7947"/>
  <c r="F116" i="7947" s="1"/>
  <c r="Q12" i="18"/>
  <c r="Q173" i="1"/>
  <c r="E32" i="7947"/>
  <c r="F32" i="7947" s="1"/>
  <c r="Q471" i="18"/>
  <c r="Q40" i="7941" s="1"/>
  <c r="Q493" i="18"/>
  <c r="Q62" i="7941" s="1"/>
  <c r="E340" i="7947"/>
  <c r="E341" i="7947" s="1"/>
  <c r="E368" i="7947"/>
  <c r="E369" i="7947" s="1"/>
  <c r="Q495" i="18"/>
  <c r="Q64" i="7941" s="1"/>
  <c r="E200" i="7947"/>
  <c r="E201" i="7947" s="1"/>
  <c r="Q483" i="18"/>
  <c r="Q52" i="7941" s="1"/>
  <c r="E242" i="7947"/>
  <c r="E243" i="7947" s="1"/>
  <c r="Q486" i="18"/>
  <c r="Q55" i="7941" s="1"/>
  <c r="K16" i="7947"/>
  <c r="I16" i="7947"/>
  <c r="L16" i="7947"/>
  <c r="J16" i="7947"/>
  <c r="H16" i="7947"/>
  <c r="P475" i="18"/>
  <c r="P44" i="7941" s="1"/>
  <c r="E87" i="7947"/>
  <c r="F87" i="7947" s="1"/>
  <c r="F30" i="7947"/>
  <c r="E284" i="7947"/>
  <c r="E285" i="7947" s="1"/>
  <c r="Q489" i="18"/>
  <c r="Q58" i="7941" s="1"/>
  <c r="Q480" i="18"/>
  <c r="Q49" i="7941" s="1"/>
  <c r="E158" i="7947"/>
  <c r="E159" i="7947" s="1"/>
  <c r="E424" i="7947"/>
  <c r="E425" i="7947" s="1"/>
  <c r="Q499" i="18"/>
  <c r="Q68" i="7941" s="1"/>
  <c r="Q496" i="18"/>
  <c r="Q65" i="7941" s="1"/>
  <c r="E382" i="7947"/>
  <c r="E383" i="7947" s="1"/>
  <c r="E73" i="7947"/>
  <c r="P474" i="18"/>
  <c r="P43" i="7941" s="1"/>
  <c r="M230" i="7941"/>
  <c r="L326" i="7941"/>
  <c r="N502" i="18"/>
  <c r="N631" i="18"/>
  <c r="O6" i="7941"/>
  <c r="Q329" i="7942"/>
  <c r="P329" i="7942"/>
  <c r="L71" i="7947"/>
  <c r="J71" i="7947"/>
  <c r="I71" i="7947"/>
  <c r="K71" i="7947"/>
  <c r="H71" i="7947"/>
  <c r="Q478" i="18"/>
  <c r="Q47" i="7941" s="1"/>
  <c r="E130" i="7947"/>
  <c r="F130" i="7947" s="1"/>
  <c r="E88" i="7947"/>
  <c r="F88" i="7947" s="1"/>
  <c r="Q475" i="18"/>
  <c r="Q44" i="7941" s="1"/>
  <c r="Q474" i="18"/>
  <c r="Q43" i="7941" s="1"/>
  <c r="E74" i="7947"/>
  <c r="F74" i="7947" s="1"/>
  <c r="Q482" i="18"/>
  <c r="Q51" i="7941" s="1"/>
  <c r="E186" i="7947"/>
  <c r="E187" i="7947" s="1"/>
  <c r="Q488" i="18"/>
  <c r="Q57" i="7941" s="1"/>
  <c r="E270" i="7947"/>
  <c r="E271" i="7947" s="1"/>
  <c r="E214" i="7947"/>
  <c r="E215" i="7947" s="1"/>
  <c r="Q484" i="18"/>
  <c r="Q53" i="7941" s="1"/>
  <c r="E172" i="7947"/>
  <c r="E173" i="7947" s="1"/>
  <c r="Q481" i="18"/>
  <c r="Q50" i="7941" s="1"/>
  <c r="F86" i="7947"/>
  <c r="E129" i="7947"/>
  <c r="F129" i="7947" s="1"/>
  <c r="P478" i="18"/>
  <c r="P47" i="7941" s="1"/>
  <c r="I15" i="7947"/>
  <c r="H15" i="7947"/>
  <c r="K15" i="7947"/>
  <c r="L15" i="7947"/>
  <c r="J15" i="7947"/>
  <c r="M294" i="7941"/>
  <c r="P471" i="18"/>
  <c r="P40" i="7941" s="1"/>
  <c r="E31" i="7947"/>
  <c r="F31" i="7947" s="1"/>
  <c r="P209" i="7941"/>
  <c r="Q460" i="18"/>
  <c r="Q688" i="18" s="1"/>
  <c r="P69" i="18"/>
  <c r="P633" i="18" s="1"/>
  <c r="P503" i="18" s="1"/>
  <c r="P72" i="7941" s="1"/>
  <c r="P30" i="7941"/>
  <c r="P420" i="18"/>
  <c r="P660" i="18" s="1"/>
  <c r="P530" i="18" s="1"/>
  <c r="P99" i="7941" s="1"/>
  <c r="P108" i="18"/>
  <c r="P636" i="18" s="1"/>
  <c r="P506" i="18" s="1"/>
  <c r="P75" i="7941" s="1"/>
  <c r="Q466" i="18"/>
  <c r="Q694" i="18" s="1"/>
  <c r="P160" i="18"/>
  <c r="P640" i="18" s="1"/>
  <c r="P510" i="18" s="1"/>
  <c r="P79" i="7941" s="1"/>
  <c r="P202" i="7941"/>
  <c r="P200" i="7941"/>
  <c r="P212" i="18"/>
  <c r="P644" i="18" s="1"/>
  <c r="P514" i="18" s="1"/>
  <c r="P83" i="7941" s="1"/>
  <c r="Q454" i="18"/>
  <c r="Q682" i="18" s="1"/>
  <c r="Q459" i="18"/>
  <c r="Q687" i="18" s="1"/>
  <c r="P204" i="7941"/>
  <c r="Q442" i="18"/>
  <c r="Q670" i="18" s="1"/>
  <c r="P147" i="18"/>
  <c r="P639" i="18" s="1"/>
  <c r="P509" i="18" s="1"/>
  <c r="P78" i="7941" s="1"/>
  <c r="Q461" i="18"/>
  <c r="Q689" i="18" s="1"/>
  <c r="P17" i="7941"/>
  <c r="P290" i="18"/>
  <c r="P650" i="18" s="1"/>
  <c r="P520" i="18" s="1"/>
  <c r="P89" i="7941" s="1"/>
  <c r="P215" i="7941"/>
  <c r="Q457" i="18"/>
  <c r="Q685" i="18" s="1"/>
  <c r="P342" i="18"/>
  <c r="P654" i="18" s="1"/>
  <c r="P524" i="18" s="1"/>
  <c r="P93" i="7941" s="1"/>
  <c r="P31" i="7941"/>
  <c r="P7" i="7941"/>
  <c r="P95" i="18"/>
  <c r="P635" i="18" s="1"/>
  <c r="P505" i="18" s="1"/>
  <c r="P74" i="7941" s="1"/>
  <c r="Q451" i="18"/>
  <c r="Q679" i="18" s="1"/>
  <c r="P34" i="7941"/>
  <c r="P21" i="7941"/>
  <c r="P228" i="7941"/>
  <c r="P222" i="7941"/>
  <c r="P223" i="7941"/>
  <c r="P32" i="7941"/>
  <c r="Q455" i="18"/>
  <c r="Q683" i="18" s="1"/>
  <c r="P251" i="18"/>
  <c r="P647" i="18" s="1"/>
  <c r="P517" i="18" s="1"/>
  <c r="P86" i="7941" s="1"/>
  <c r="Q462" i="18"/>
  <c r="Q690" i="18" s="1"/>
  <c r="Q452" i="18"/>
  <c r="Q680" i="18" s="1"/>
  <c r="P208" i="7941"/>
  <c r="P19" i="7941"/>
  <c r="P264" i="18"/>
  <c r="P648" i="18" s="1"/>
  <c r="P518" i="18" s="1"/>
  <c r="P87" i="7941" s="1"/>
  <c r="Q467" i="18"/>
  <c r="Q695" i="18" s="1"/>
  <c r="P201" i="7941"/>
  <c r="P121" i="18"/>
  <c r="P637" i="18" s="1"/>
  <c r="P507" i="18" s="1"/>
  <c r="P76" i="7941" s="1"/>
  <c r="P29" i="7941"/>
  <c r="P238" i="18"/>
  <c r="P646" i="18" s="1"/>
  <c r="P516" i="18" s="1"/>
  <c r="P85" i="7941" s="1"/>
  <c r="Q465" i="18"/>
  <c r="Q693" i="18" s="1"/>
  <c r="P211" i="7941"/>
  <c r="Q448" i="18"/>
  <c r="Q676" i="18" s="1"/>
  <c r="P433" i="18"/>
  <c r="P661" i="18" s="1"/>
  <c r="P531" i="18" s="1"/>
  <c r="P100" i="7941" s="1"/>
  <c r="P15" i="7941"/>
  <c r="P227" i="7941"/>
  <c r="Q444" i="18"/>
  <c r="Q672" i="18" s="1"/>
  <c r="Q453" i="18"/>
  <c r="Q681" i="18" s="1"/>
  <c r="P22" i="7941"/>
  <c r="P206" i="7941"/>
  <c r="P225" i="7941"/>
  <c r="P26" i="7941"/>
  <c r="P329" i="18"/>
  <c r="P653" i="18" s="1"/>
  <c r="P523" i="18" s="1"/>
  <c r="P92" i="7941" s="1"/>
  <c r="Q446" i="18"/>
  <c r="Q674" i="18" s="1"/>
  <c r="P25" i="7941"/>
  <c r="Q447" i="18"/>
  <c r="Q675" i="18" s="1"/>
  <c r="Q439" i="18"/>
  <c r="Q667" i="18" s="1"/>
  <c r="P224" i="7941"/>
  <c r="P217" i="7941"/>
  <c r="P381" i="18"/>
  <c r="P657" i="18" s="1"/>
  <c r="P527" i="18" s="1"/>
  <c r="P96" i="7941" s="1"/>
  <c r="P10" i="7941"/>
  <c r="Q440" i="18"/>
  <c r="Q668" i="18" s="1"/>
  <c r="Q438" i="18"/>
  <c r="P199" i="7941"/>
  <c r="P12" i="7941"/>
  <c r="P134" i="18"/>
  <c r="P638" i="18" s="1"/>
  <c r="P508" i="18" s="1"/>
  <c r="P77" i="7941" s="1"/>
  <c r="P216" i="7941"/>
  <c r="Q450" i="18"/>
  <c r="Q678" i="18" s="1"/>
  <c r="Q445" i="18"/>
  <c r="Q673" i="18" s="1"/>
  <c r="P214" i="7941"/>
  <c r="P355" i="18"/>
  <c r="P655" i="18" s="1"/>
  <c r="P525" i="18" s="1"/>
  <c r="P94" i="7941" s="1"/>
  <c r="Q449" i="18"/>
  <c r="Q677" i="18" s="1"/>
  <c r="P28" i="7941"/>
  <c r="P203" i="7941"/>
  <c r="P14" i="7941"/>
  <c r="P213" i="7941"/>
  <c r="P218" i="7941"/>
  <c r="P368" i="18"/>
  <c r="P656" i="18" s="1"/>
  <c r="P526" i="18" s="1"/>
  <c r="P95" i="7941" s="1"/>
  <c r="P212" i="7941"/>
  <c r="P8" i="7941"/>
  <c r="P173" i="18"/>
  <c r="P641" i="18" s="1"/>
  <c r="P511" i="18" s="1"/>
  <c r="P80" i="7941" s="1"/>
  <c r="P226" i="7941"/>
  <c r="Q456" i="18"/>
  <c r="Q684" i="18" s="1"/>
  <c r="P56" i="18"/>
  <c r="P35" i="7941"/>
  <c r="P394" i="18"/>
  <c r="P658" i="18" s="1"/>
  <c r="P528" i="18" s="1"/>
  <c r="P97" i="7941" s="1"/>
  <c r="P9" i="7941"/>
  <c r="P219" i="7941"/>
  <c r="P407" i="18"/>
  <c r="P659" i="18" s="1"/>
  <c r="P529" i="18" s="1"/>
  <c r="P98" i="7941" s="1"/>
  <c r="P33" i="7941"/>
  <c r="P225" i="18"/>
  <c r="P645" i="18" s="1"/>
  <c r="P515" i="18" s="1"/>
  <c r="P84" i="7941" s="1"/>
  <c r="P13" i="7941"/>
  <c r="P18" i="7941"/>
  <c r="P210" i="7941"/>
  <c r="P199" i="18"/>
  <c r="P643" i="18" s="1"/>
  <c r="P513" i="18" s="1"/>
  <c r="P82" i="7941" s="1"/>
  <c r="P27" i="7941"/>
  <c r="P36" i="7941"/>
  <c r="P205" i="7941"/>
  <c r="P303" i="18"/>
  <c r="P651" i="18" s="1"/>
  <c r="P521" i="18" s="1"/>
  <c r="P90" i="7941" s="1"/>
  <c r="P20" i="7941"/>
  <c r="P24" i="7941"/>
  <c r="P207" i="7941"/>
  <c r="P23" i="7941"/>
  <c r="P220" i="7941"/>
  <c r="P82" i="18"/>
  <c r="P634" i="18" s="1"/>
  <c r="P504" i="18" s="1"/>
  <c r="P73" i="7941" s="1"/>
  <c r="P186" i="18"/>
  <c r="P642" i="18" s="1"/>
  <c r="P512" i="18" s="1"/>
  <c r="P81" i="7941" s="1"/>
  <c r="P11" i="7941"/>
  <c r="P277" i="18"/>
  <c r="P649" i="18" s="1"/>
  <c r="P519" i="18" s="1"/>
  <c r="P88" i="7941" s="1"/>
  <c r="P16" i="7941"/>
  <c r="P316" i="18"/>
  <c r="P652" i="18" s="1"/>
  <c r="P522" i="18" s="1"/>
  <c r="P91" i="7941" s="1"/>
  <c r="Q463" i="18"/>
  <c r="Q691" i="18" s="1"/>
  <c r="P221" i="7941"/>
  <c r="Q458" i="18"/>
  <c r="Q686" i="18" s="1"/>
  <c r="Q443" i="18"/>
  <c r="Q671" i="18" s="1"/>
  <c r="Q441" i="18"/>
  <c r="Q669" i="18" s="1"/>
  <c r="Q464" i="18"/>
  <c r="Q692" i="18" s="1"/>
  <c r="K72" i="7947"/>
  <c r="H72" i="7947"/>
  <c r="L72" i="7947"/>
  <c r="J72" i="7947"/>
  <c r="I72" i="7947"/>
  <c r="H127" i="7947"/>
  <c r="I127" i="7947"/>
  <c r="K127" i="7947"/>
  <c r="J127" i="7947"/>
  <c r="L127" i="7947"/>
  <c r="M459" i="18"/>
  <c r="M687" i="18" s="1"/>
  <c r="M523" i="18" s="1"/>
  <c r="M92" i="7941" s="1"/>
  <c r="E228" i="7947"/>
  <c r="E229" i="7947" s="1"/>
  <c r="Q485" i="18"/>
  <c r="Q54" i="7941" s="1"/>
  <c r="Q492" i="18"/>
  <c r="Q61" i="7941" s="1"/>
  <c r="E326" i="7947"/>
  <c r="E327" i="7947" s="1"/>
  <c r="Q473" i="18"/>
  <c r="Q42" i="7941" s="1"/>
  <c r="E60" i="7947"/>
  <c r="E61" i="7947" s="1"/>
  <c r="Q479" i="18"/>
  <c r="Q48" i="7941" s="1"/>
  <c r="E144" i="7947"/>
  <c r="E145" i="7947" s="1"/>
  <c r="E396" i="7947"/>
  <c r="E397" i="7947" s="1"/>
  <c r="Q497" i="18"/>
  <c r="Q66" i="7941" s="1"/>
  <c r="Q490" i="18"/>
  <c r="Q59" i="7941" s="1"/>
  <c r="E298" i="7947"/>
  <c r="E299" i="7947" s="1"/>
  <c r="E46" i="7947"/>
  <c r="E47" i="7947" s="1"/>
  <c r="Q472" i="18"/>
  <c r="Q41" i="7941" s="1"/>
  <c r="Q487" i="18"/>
  <c r="Q56" i="7941" s="1"/>
  <c r="E256" i="7947"/>
  <c r="E257" i="7947" s="1"/>
  <c r="E115" i="7947"/>
  <c r="F115" i="7947" s="1"/>
  <c r="P477" i="18"/>
  <c r="P46" i="7941" s="1"/>
  <c r="M451" i="18"/>
  <c r="M679" i="18" s="1"/>
  <c r="M515" i="18" s="1"/>
  <c r="M84" i="7941" s="1"/>
  <c r="K199" i="7941"/>
  <c r="L7" i="7941"/>
  <c r="J73" i="7941"/>
  <c r="J501" i="18"/>
  <c r="K440" i="18"/>
  <c r="L666" i="18"/>
  <c r="Q74" i="7944" l="1"/>
  <c r="R10" i="7944" s="1"/>
  <c r="P163" i="7942"/>
  <c r="Q163" i="7942"/>
  <c r="Q290" i="7941" s="1"/>
  <c r="M374" i="7941"/>
  <c r="M368" i="7941"/>
  <c r="M377" i="7941"/>
  <c r="M365" i="7941"/>
  <c r="Q167" i="7942"/>
  <c r="Q292" i="7941" s="1"/>
  <c r="P167" i="7942"/>
  <c r="Q107" i="7942"/>
  <c r="Q129" i="7942"/>
  <c r="Q273" i="7941" s="1"/>
  <c r="P129" i="7942"/>
  <c r="P123" i="7942"/>
  <c r="Q123" i="7942"/>
  <c r="Q270" i="7941" s="1"/>
  <c r="Q262" i="7941" s="1"/>
  <c r="Q99" i="7944"/>
  <c r="R35" i="7944" s="1"/>
  <c r="M361" i="7941"/>
  <c r="N9" i="7944"/>
  <c r="M380" i="7941"/>
  <c r="M383" i="7941"/>
  <c r="N294" i="7941"/>
  <c r="M382" i="7941"/>
  <c r="M372" i="7941"/>
  <c r="M386" i="7941"/>
  <c r="M388" i="7941"/>
  <c r="M366" i="7941"/>
  <c r="M369" i="7941"/>
  <c r="M378" i="7941"/>
  <c r="M375" i="7941"/>
  <c r="E89" i="7947"/>
  <c r="F89" i="7947" s="1"/>
  <c r="J30" i="7947"/>
  <c r="L30" i="7947"/>
  <c r="H30" i="7947"/>
  <c r="I30" i="7947"/>
  <c r="K30" i="7947"/>
  <c r="H116" i="7947"/>
  <c r="I116" i="7947"/>
  <c r="L116" i="7947"/>
  <c r="K116" i="7947"/>
  <c r="J116" i="7947"/>
  <c r="I101" i="7947"/>
  <c r="J101" i="7947"/>
  <c r="L101" i="7947"/>
  <c r="K101" i="7947"/>
  <c r="H101" i="7947"/>
  <c r="P39" i="7941"/>
  <c r="P38" i="7941" s="1"/>
  <c r="P469" i="18"/>
  <c r="M128" i="7947"/>
  <c r="M114" i="7947"/>
  <c r="M359" i="7941"/>
  <c r="M262" i="7941"/>
  <c r="K129" i="7947"/>
  <c r="I129" i="7947"/>
  <c r="J129" i="7947"/>
  <c r="H129" i="7947"/>
  <c r="L129" i="7947"/>
  <c r="H74" i="7947"/>
  <c r="L74" i="7947"/>
  <c r="I74" i="7947"/>
  <c r="J74" i="7947"/>
  <c r="K74" i="7947"/>
  <c r="I130" i="7947"/>
  <c r="K130" i="7947"/>
  <c r="H130" i="7947"/>
  <c r="L130" i="7947"/>
  <c r="J130" i="7947"/>
  <c r="N71" i="7941"/>
  <c r="N70" i="7941" s="1"/>
  <c r="N501" i="18"/>
  <c r="H115" i="7947"/>
  <c r="L115" i="7947"/>
  <c r="I115" i="7947"/>
  <c r="J115" i="7947"/>
  <c r="K115" i="7947"/>
  <c r="F47" i="7947"/>
  <c r="M47" i="7947"/>
  <c r="M127" i="7947"/>
  <c r="J87" i="7947"/>
  <c r="I87" i="7947"/>
  <c r="H87" i="7947"/>
  <c r="L87" i="7947"/>
  <c r="K87" i="7947"/>
  <c r="K32" i="7947"/>
  <c r="I32" i="7947"/>
  <c r="J32" i="7947"/>
  <c r="H32" i="7947"/>
  <c r="L32" i="7947"/>
  <c r="J17" i="7947"/>
  <c r="L17" i="7947"/>
  <c r="I17" i="7947"/>
  <c r="K17" i="7947"/>
  <c r="H17" i="7947"/>
  <c r="E103" i="7947"/>
  <c r="F103" i="7947" s="1"/>
  <c r="N230" i="7941"/>
  <c r="Q666" i="18"/>
  <c r="Q665" i="18" s="1"/>
  <c r="Q437" i="18"/>
  <c r="L86" i="7947"/>
  <c r="J86" i="7947"/>
  <c r="I86" i="7947"/>
  <c r="K86" i="7947"/>
  <c r="H86" i="7947"/>
  <c r="E131" i="7947"/>
  <c r="F131" i="7947" s="1"/>
  <c r="F73" i="7947"/>
  <c r="E75" i="7947"/>
  <c r="Q217" i="7941"/>
  <c r="Q277" i="18"/>
  <c r="Q649" i="18" s="1"/>
  <c r="Q519" i="18" s="1"/>
  <c r="Q88" i="7941" s="1"/>
  <c r="Q12" i="7941"/>
  <c r="Q228" i="7941"/>
  <c r="Q368" i="18"/>
  <c r="Q656" i="18" s="1"/>
  <c r="Q526" i="18" s="1"/>
  <c r="Q95" i="7941" s="1"/>
  <c r="Q213" i="7941"/>
  <c r="R461" i="18"/>
  <c r="R466" i="18"/>
  <c r="Q329" i="18"/>
  <c r="Q653" i="18" s="1"/>
  <c r="Q523" i="18" s="1"/>
  <c r="Q92" i="7941" s="1"/>
  <c r="Q238" i="18"/>
  <c r="Q646" i="18" s="1"/>
  <c r="Q516" i="18" s="1"/>
  <c r="Q85" i="7941" s="1"/>
  <c r="Q227" i="7941"/>
  <c r="Q26" i="7941"/>
  <c r="Q226" i="7941"/>
  <c r="R441" i="18"/>
  <c r="Q9" i="7941"/>
  <c r="R445" i="18"/>
  <c r="Q316" i="18"/>
  <c r="Q652" i="18" s="1"/>
  <c r="Q522" i="18" s="1"/>
  <c r="Q91" i="7941" s="1"/>
  <c r="R447" i="18"/>
  <c r="Q216" i="7941"/>
  <c r="Q420" i="18"/>
  <c r="Q660" i="18" s="1"/>
  <c r="Q530" i="18" s="1"/>
  <c r="Q99" i="7941" s="1"/>
  <c r="Q225" i="7941"/>
  <c r="R451" i="18"/>
  <c r="Q16" i="7941"/>
  <c r="Q10" i="7941"/>
  <c r="Q33" i="7941"/>
  <c r="Q203" i="7941"/>
  <c r="Q207" i="7941"/>
  <c r="Q218" i="7941"/>
  <c r="R465" i="18"/>
  <c r="R448" i="18"/>
  <c r="Q224" i="7941"/>
  <c r="R456" i="18"/>
  <c r="Q69" i="18"/>
  <c r="Q633" i="18" s="1"/>
  <c r="Q503" i="18" s="1"/>
  <c r="Q72" i="7941" s="1"/>
  <c r="Q204" i="7941"/>
  <c r="Q18" i="7941"/>
  <c r="Q160" i="18"/>
  <c r="Q640" i="18" s="1"/>
  <c r="Q510" i="18" s="1"/>
  <c r="Q79" i="7941" s="1"/>
  <c r="Q28" i="7941"/>
  <c r="R460" i="18"/>
  <c r="Q214" i="7941"/>
  <c r="Q394" i="18"/>
  <c r="Q658" i="18" s="1"/>
  <c r="Q528" i="18" s="1"/>
  <c r="Q97" i="7941" s="1"/>
  <c r="Q36" i="7941"/>
  <c r="Q201" i="7941"/>
  <c r="Q355" i="18"/>
  <c r="Q655" i="18" s="1"/>
  <c r="Q525" i="18" s="1"/>
  <c r="Q94" i="7941" s="1"/>
  <c r="R453" i="18"/>
  <c r="Q13" i="7941"/>
  <c r="Q56" i="18"/>
  <c r="Q290" i="18"/>
  <c r="Q650" i="18" s="1"/>
  <c r="Q520" i="18" s="1"/>
  <c r="Q89" i="7941" s="1"/>
  <c r="R464" i="18"/>
  <c r="Q134" i="18"/>
  <c r="Q638" i="18" s="1"/>
  <c r="Q508" i="18" s="1"/>
  <c r="Q77" i="7941" s="1"/>
  <c r="Q17" i="7941"/>
  <c r="Q209" i="7941"/>
  <c r="Q342" i="18"/>
  <c r="Q654" i="18" s="1"/>
  <c r="Q524" i="18" s="1"/>
  <c r="Q93" i="7941" s="1"/>
  <c r="Q381" i="18"/>
  <c r="Q657" i="18" s="1"/>
  <c r="Q527" i="18" s="1"/>
  <c r="Q96" i="7941" s="1"/>
  <c r="Q22" i="7941"/>
  <c r="Q20" i="7941"/>
  <c r="Q219" i="7941"/>
  <c r="Q8" i="7941"/>
  <c r="Q208" i="7941"/>
  <c r="Q212" i="18"/>
  <c r="Q644" i="18" s="1"/>
  <c r="Q514" i="18" s="1"/>
  <c r="Q83" i="7941" s="1"/>
  <c r="Q212" i="7941"/>
  <c r="R450" i="18"/>
  <c r="Q220" i="7941"/>
  <c r="Q34" i="7941"/>
  <c r="Q82" i="18"/>
  <c r="Q634" i="18" s="1"/>
  <c r="Q504" i="18" s="1"/>
  <c r="Q73" i="7941" s="1"/>
  <c r="R457" i="18"/>
  <c r="Q199" i="7941"/>
  <c r="Q25" i="7941"/>
  <c r="Q24" i="7941"/>
  <c r="Q221" i="7941"/>
  <c r="Q19" i="7941"/>
  <c r="Q206" i="7941"/>
  <c r="Q251" i="18"/>
  <c r="Q647" i="18" s="1"/>
  <c r="Q517" i="18" s="1"/>
  <c r="Q86" i="7941" s="1"/>
  <c r="R444" i="18"/>
  <c r="R463" i="18"/>
  <c r="Q202" i="7941"/>
  <c r="Q21" i="7941"/>
  <c r="R438" i="18"/>
  <c r="Q35" i="7941"/>
  <c r="Q223" i="7941"/>
  <c r="Q32" i="7941"/>
  <c r="R443" i="18"/>
  <c r="R446" i="18"/>
  <c r="Q23" i="7941"/>
  <c r="Q205" i="7941"/>
  <c r="Q11" i="7941"/>
  <c r="Q211" i="7941"/>
  <c r="R458" i="18"/>
  <c r="R449" i="18"/>
  <c r="Q27" i="7941"/>
  <c r="Q303" i="18"/>
  <c r="Q651" i="18" s="1"/>
  <c r="Q521" i="18" s="1"/>
  <c r="Q90" i="7941" s="1"/>
  <c r="Q173" i="18"/>
  <c r="Q641" i="18" s="1"/>
  <c r="Q511" i="18" s="1"/>
  <c r="Q80" i="7941" s="1"/>
  <c r="Q200" i="7941"/>
  <c r="Q31" i="7941"/>
  <c r="Q14" i="7941"/>
  <c r="R467" i="18"/>
  <c r="R459" i="18"/>
  <c r="Q199" i="18"/>
  <c r="Q643" i="18" s="1"/>
  <c r="Q513" i="18" s="1"/>
  <c r="Q82" i="7941" s="1"/>
  <c r="Q7" i="7941"/>
  <c r="R454" i="18"/>
  <c r="Q121" i="18"/>
  <c r="Q637" i="18" s="1"/>
  <c r="Q507" i="18" s="1"/>
  <c r="Q76" i="7941" s="1"/>
  <c r="Q30" i="7941"/>
  <c r="Q433" i="18"/>
  <c r="Q661" i="18" s="1"/>
  <c r="Q531" i="18" s="1"/>
  <c r="Q100" i="7941" s="1"/>
  <c r="Q264" i="18"/>
  <c r="Q648" i="18" s="1"/>
  <c r="Q518" i="18" s="1"/>
  <c r="Q87" i="7941" s="1"/>
  <c r="R452" i="18"/>
  <c r="R439" i="18"/>
  <c r="Q222" i="7941"/>
  <c r="Q15" i="7941"/>
  <c r="Q407" i="18"/>
  <c r="Q659" i="18" s="1"/>
  <c r="Q529" i="18" s="1"/>
  <c r="Q98" i="7941" s="1"/>
  <c r="Q29" i="7941"/>
  <c r="Q147" i="18"/>
  <c r="Q639" i="18" s="1"/>
  <c r="Q509" i="18" s="1"/>
  <c r="Q78" i="7941" s="1"/>
  <c r="R455" i="18"/>
  <c r="R440" i="18"/>
  <c r="Q95" i="18"/>
  <c r="Q635" i="18" s="1"/>
  <c r="Q505" i="18" s="1"/>
  <c r="Q74" i="7941" s="1"/>
  <c r="Q108" i="18"/>
  <c r="Q636" i="18" s="1"/>
  <c r="Q506" i="18" s="1"/>
  <c r="Q75" i="7941" s="1"/>
  <c r="R462" i="18"/>
  <c r="Q225" i="18"/>
  <c r="Q645" i="18" s="1"/>
  <c r="Q515" i="18" s="1"/>
  <c r="Q84" i="7941" s="1"/>
  <c r="Q210" i="7941"/>
  <c r="R442" i="18"/>
  <c r="Q215" i="7941"/>
  <c r="Q186" i="18"/>
  <c r="Q642" i="18" s="1"/>
  <c r="Q512" i="18" s="1"/>
  <c r="Q81" i="7941" s="1"/>
  <c r="R174" i="1"/>
  <c r="J102" i="7947"/>
  <c r="I102" i="7947"/>
  <c r="H102" i="7947"/>
  <c r="L102" i="7947"/>
  <c r="K102" i="7947"/>
  <c r="O313" i="7941"/>
  <c r="N350" i="7941"/>
  <c r="O307" i="7941"/>
  <c r="N355" i="7941"/>
  <c r="O251" i="7941"/>
  <c r="O257" i="7941"/>
  <c r="O232" i="7941"/>
  <c r="N356" i="7941"/>
  <c r="O244" i="7941"/>
  <c r="O299" i="7941"/>
  <c r="O256" i="7941"/>
  <c r="O241" i="7941"/>
  <c r="O312" i="7941"/>
  <c r="O243" i="7941"/>
  <c r="O301" i="7941"/>
  <c r="N341" i="7941"/>
  <c r="O246" i="7941"/>
  <c r="N343" i="7941"/>
  <c r="O260" i="7941"/>
  <c r="N333" i="7941"/>
  <c r="O305" i="7941"/>
  <c r="N339" i="7941"/>
  <c r="O315" i="7941"/>
  <c r="N330" i="7941"/>
  <c r="O309" i="7941"/>
  <c r="O300" i="7941"/>
  <c r="N331" i="7941"/>
  <c r="N336" i="7941"/>
  <c r="N332" i="7941"/>
  <c r="O238" i="7941"/>
  <c r="O314" i="7941"/>
  <c r="O247" i="7941"/>
  <c r="N353" i="7941"/>
  <c r="O318" i="7941"/>
  <c r="O235" i="7941"/>
  <c r="N345" i="7941"/>
  <c r="N286" i="7941"/>
  <c r="N382" i="7941" s="1"/>
  <c r="N337" i="7941"/>
  <c r="N354" i="7941"/>
  <c r="O306" i="7941"/>
  <c r="O240" i="7941"/>
  <c r="O258" i="7941"/>
  <c r="O323" i="7941"/>
  <c r="O248" i="7941"/>
  <c r="N329" i="7941"/>
  <c r="O297" i="7941"/>
  <c r="O295" i="7941"/>
  <c r="O242" i="7941"/>
  <c r="O319" i="7941"/>
  <c r="O303" i="7941"/>
  <c r="O253" i="7941"/>
  <c r="N349" i="7941"/>
  <c r="O252" i="7941"/>
  <c r="O317" i="7941"/>
  <c r="O250" i="7941"/>
  <c r="O321" i="7941"/>
  <c r="N334" i="7941"/>
  <c r="N346" i="7941"/>
  <c r="O249" i="7941"/>
  <c r="O308" i="7941"/>
  <c r="O233" i="7941"/>
  <c r="O234" i="7941"/>
  <c r="O310" i="7941"/>
  <c r="N347" i="7941"/>
  <c r="O255" i="7941"/>
  <c r="O302" i="7941"/>
  <c r="N340" i="7941"/>
  <c r="N327" i="7941"/>
  <c r="N351" i="7941"/>
  <c r="O239" i="7941"/>
  <c r="O324" i="7941"/>
  <c r="O231" i="7941"/>
  <c r="N335" i="7941"/>
  <c r="O254" i="7941"/>
  <c r="N344" i="7941"/>
  <c r="N338" i="7941"/>
  <c r="O304" i="7941"/>
  <c r="N352" i="7941"/>
  <c r="N348" i="7941"/>
  <c r="O320" i="7941"/>
  <c r="O236" i="7941"/>
  <c r="N342" i="7941"/>
  <c r="O316" i="7941"/>
  <c r="O296" i="7941"/>
  <c r="O311" i="7941"/>
  <c r="N328" i="7941"/>
  <c r="O237" i="7941"/>
  <c r="O259" i="7941"/>
  <c r="O322" i="7941"/>
  <c r="O245" i="7941"/>
  <c r="O298" i="7941"/>
  <c r="N269" i="7941"/>
  <c r="N365" i="7941" s="1"/>
  <c r="N266" i="7941"/>
  <c r="N362" i="7941" s="1"/>
  <c r="N268" i="7941"/>
  <c r="N364" i="7941" s="1"/>
  <c r="N289" i="7941"/>
  <c r="N385" i="7941" s="1"/>
  <c r="N290" i="7941"/>
  <c r="N386" i="7941" s="1"/>
  <c r="N267" i="7941"/>
  <c r="N273" i="7941"/>
  <c r="N369" i="7941" s="1"/>
  <c r="N272" i="7941"/>
  <c r="N287" i="7941"/>
  <c r="N276" i="7941"/>
  <c r="N280" i="7941"/>
  <c r="N265" i="7941"/>
  <c r="N270" i="7941"/>
  <c r="N278" i="7941"/>
  <c r="N275" i="7941"/>
  <c r="N371" i="7941" s="1"/>
  <c r="N279" i="7941"/>
  <c r="N375" i="7941" s="1"/>
  <c r="N292" i="7941"/>
  <c r="N281" i="7941"/>
  <c r="N263" i="7941"/>
  <c r="N271" i="7941"/>
  <c r="N288" i="7941"/>
  <c r="N277" i="7941"/>
  <c r="N283" i="7941"/>
  <c r="N264" i="7941"/>
  <c r="N360" i="7941" s="1"/>
  <c r="N274" i="7941"/>
  <c r="N284" i="7941"/>
  <c r="N282" i="7941"/>
  <c r="N378" i="7941" s="1"/>
  <c r="N285" i="7941"/>
  <c r="N291" i="7941"/>
  <c r="O502" i="18"/>
  <c r="F61" i="7947"/>
  <c r="M61" i="7947"/>
  <c r="E117" i="7947"/>
  <c r="F117" i="7947" s="1"/>
  <c r="P632" i="18"/>
  <c r="P43" i="18"/>
  <c r="P198" i="7941"/>
  <c r="P6" i="7941"/>
  <c r="J31" i="7947"/>
  <c r="I31" i="7947"/>
  <c r="H31" i="7947"/>
  <c r="L31" i="7947"/>
  <c r="K31" i="7947"/>
  <c r="H88" i="7947"/>
  <c r="K88" i="7947"/>
  <c r="J88" i="7947"/>
  <c r="I88" i="7947"/>
  <c r="L88" i="7947"/>
  <c r="E33" i="7947"/>
  <c r="F33" i="7947" s="1"/>
  <c r="Q11" i="18"/>
  <c r="E18" i="7947"/>
  <c r="F18" i="7947" s="1"/>
  <c r="Q470" i="18"/>
  <c r="M113" i="7947"/>
  <c r="M100" i="7947"/>
  <c r="M326" i="7941"/>
  <c r="K668" i="18"/>
  <c r="K437" i="18"/>
  <c r="J70" i="7941"/>
  <c r="J201" i="7941"/>
  <c r="J198" i="7941" s="1"/>
  <c r="K9" i="7941"/>
  <c r="L502" i="18"/>
  <c r="Q168" i="7942" l="1"/>
  <c r="P168" i="7942"/>
  <c r="N387" i="7941"/>
  <c r="N384" i="7941"/>
  <c r="N366" i="7941"/>
  <c r="N383" i="7941"/>
  <c r="N361" i="7941"/>
  <c r="N73" i="7944"/>
  <c r="N71" i="7944" s="1"/>
  <c r="N7" i="7944"/>
  <c r="N381" i="7941"/>
  <c r="N376" i="7941"/>
  <c r="N373" i="7941"/>
  <c r="N377" i="7941"/>
  <c r="J131" i="7947"/>
  <c r="M358" i="7941"/>
  <c r="N326" i="7941"/>
  <c r="E78" i="7948"/>
  <c r="G78" i="7948" s="1"/>
  <c r="G9" i="7948" s="1"/>
  <c r="N9" i="7952" s="1"/>
  <c r="N374" i="7941"/>
  <c r="N372" i="7941"/>
  <c r="N363" i="7941"/>
  <c r="K117" i="7947"/>
  <c r="H117" i="7947"/>
  <c r="L131" i="7947"/>
  <c r="K103" i="7947"/>
  <c r="I117" i="7947"/>
  <c r="I131" i="7947"/>
  <c r="M130" i="7947"/>
  <c r="K131" i="7947"/>
  <c r="I89" i="7947"/>
  <c r="L89" i="7947"/>
  <c r="H33" i="7947"/>
  <c r="H89" i="7947"/>
  <c r="J103" i="7947"/>
  <c r="J73" i="7947"/>
  <c r="J75" i="7947" s="1"/>
  <c r="I73" i="7947"/>
  <c r="I75" i="7947" s="1"/>
  <c r="L73" i="7947"/>
  <c r="L75" i="7947" s="1"/>
  <c r="K73" i="7947"/>
  <c r="K75" i="7947" s="1"/>
  <c r="H73" i="7947"/>
  <c r="H75" i="7947" s="1"/>
  <c r="N370" i="7941"/>
  <c r="Q6" i="7941"/>
  <c r="Q198" i="7941"/>
  <c r="Q632" i="18"/>
  <c r="Q43" i="18"/>
  <c r="J33" i="7947"/>
  <c r="M129" i="7947"/>
  <c r="M101" i="7947"/>
  <c r="I103" i="7947"/>
  <c r="L117" i="7947"/>
  <c r="P502" i="18"/>
  <c r="P631" i="18"/>
  <c r="O294" i="7941"/>
  <c r="Q469" i="18"/>
  <c r="Q39" i="7941"/>
  <c r="Q38" i="7941" s="1"/>
  <c r="K89" i="7947"/>
  <c r="P307" i="7941"/>
  <c r="P247" i="7941"/>
  <c r="O354" i="7941"/>
  <c r="P233" i="7941"/>
  <c r="P321" i="7941"/>
  <c r="P252" i="7941"/>
  <c r="O350" i="7941"/>
  <c r="P311" i="7941"/>
  <c r="P254" i="7941"/>
  <c r="O345" i="7941"/>
  <c r="P235" i="7941"/>
  <c r="P320" i="7941"/>
  <c r="P304" i="7941"/>
  <c r="P317" i="7941"/>
  <c r="O286" i="7941"/>
  <c r="P253" i="7941"/>
  <c r="O356" i="7941"/>
  <c r="P313" i="7941"/>
  <c r="O329" i="7941"/>
  <c r="O346" i="7941"/>
  <c r="P249" i="7941"/>
  <c r="P244" i="7941"/>
  <c r="P305" i="7941"/>
  <c r="P323" i="7941"/>
  <c r="P239" i="7941"/>
  <c r="P236" i="7941"/>
  <c r="P312" i="7941"/>
  <c r="P322" i="7941"/>
  <c r="P257" i="7941"/>
  <c r="P240" i="7941"/>
  <c r="P256" i="7941"/>
  <c r="P302" i="7941"/>
  <c r="P242" i="7941"/>
  <c r="O327" i="7941"/>
  <c r="P300" i="7941"/>
  <c r="P308" i="7941"/>
  <c r="P299" i="7941"/>
  <c r="P259" i="7941"/>
  <c r="O339" i="7941"/>
  <c r="P238" i="7941"/>
  <c r="P255" i="7941"/>
  <c r="O351" i="7941"/>
  <c r="P246" i="7941"/>
  <c r="O328" i="7941"/>
  <c r="P231" i="7941"/>
  <c r="P315" i="7941"/>
  <c r="O333" i="7941"/>
  <c r="P250" i="7941"/>
  <c r="O347" i="7941"/>
  <c r="O353" i="7941"/>
  <c r="P303" i="7941"/>
  <c r="O336" i="7941"/>
  <c r="P260" i="7941"/>
  <c r="O331" i="7941"/>
  <c r="P295" i="7941"/>
  <c r="O340" i="7941"/>
  <c r="P324" i="7941"/>
  <c r="P310" i="7941"/>
  <c r="O338" i="7941"/>
  <c r="O348" i="7941"/>
  <c r="O341" i="7941"/>
  <c r="P319" i="7941"/>
  <c r="P318" i="7941"/>
  <c r="O334" i="7941"/>
  <c r="O349" i="7941"/>
  <c r="P251" i="7941"/>
  <c r="O332" i="7941"/>
  <c r="O335" i="7941"/>
  <c r="P232" i="7941"/>
  <c r="P301" i="7941"/>
  <c r="P237" i="7941"/>
  <c r="P234" i="7941"/>
  <c r="O355" i="7941"/>
  <c r="O343" i="7941"/>
  <c r="O352" i="7941"/>
  <c r="O344" i="7941"/>
  <c r="P297" i="7941"/>
  <c r="P245" i="7941"/>
  <c r="P248" i="7941"/>
  <c r="P258" i="7941"/>
  <c r="P316" i="7941"/>
  <c r="P243" i="7941"/>
  <c r="P241" i="7941"/>
  <c r="P298" i="7941"/>
  <c r="O330" i="7941"/>
  <c r="P309" i="7941"/>
  <c r="O342" i="7941"/>
  <c r="O337" i="7941"/>
  <c r="P314" i="7941"/>
  <c r="P306" i="7941"/>
  <c r="P296" i="7941"/>
  <c r="O382" i="7941"/>
  <c r="O268" i="7941"/>
  <c r="O364" i="7941" s="1"/>
  <c r="O269" i="7941"/>
  <c r="O290" i="7941"/>
  <c r="O386" i="7941" s="1"/>
  <c r="O273" i="7941"/>
  <c r="O280" i="7941"/>
  <c r="O265" i="7941"/>
  <c r="O292" i="7941"/>
  <c r="O289" i="7941"/>
  <c r="O279" i="7941"/>
  <c r="O267" i="7941"/>
  <c r="O363" i="7941" s="1"/>
  <c r="O287" i="7941"/>
  <c r="O276" i="7941"/>
  <c r="O277" i="7941"/>
  <c r="O373" i="7941" s="1"/>
  <c r="O272" i="7941"/>
  <c r="O281" i="7941"/>
  <c r="O275" i="7941"/>
  <c r="O371" i="7941" s="1"/>
  <c r="O264" i="7941"/>
  <c r="O278" i="7941"/>
  <c r="O288" i="7941"/>
  <c r="O384" i="7941" s="1"/>
  <c r="O274" i="7941"/>
  <c r="O370" i="7941" s="1"/>
  <c r="O263" i="7941"/>
  <c r="O270" i="7941"/>
  <c r="O284" i="7941"/>
  <c r="O291" i="7941"/>
  <c r="O387" i="7941" s="1"/>
  <c r="O282" i="7941"/>
  <c r="O266" i="7941"/>
  <c r="O285" i="7941"/>
  <c r="O271" i="7941"/>
  <c r="O283" i="7941"/>
  <c r="O379" i="7941" s="1"/>
  <c r="O71" i="7941"/>
  <c r="O70" i="7941" s="1"/>
  <c r="O501" i="18"/>
  <c r="N367" i="7941"/>
  <c r="N368" i="7941"/>
  <c r="R437" i="18"/>
  <c r="I33" i="7947"/>
  <c r="H131" i="7947"/>
  <c r="E19" i="7947"/>
  <c r="F19" i="7947" s="1"/>
  <c r="O230" i="7941"/>
  <c r="J89" i="7947"/>
  <c r="N388" i="7941"/>
  <c r="K18" i="7947"/>
  <c r="K19" i="7947" s="1"/>
  <c r="J18" i="7947"/>
  <c r="J19" i="7947" s="1"/>
  <c r="H18" i="7947"/>
  <c r="H19" i="7947" s="1"/>
  <c r="L18" i="7947"/>
  <c r="L19" i="7947" s="1"/>
  <c r="I18" i="7947"/>
  <c r="I19" i="7947" s="1"/>
  <c r="N380" i="7941"/>
  <c r="N379" i="7941"/>
  <c r="N359" i="7941"/>
  <c r="N262" i="7941"/>
  <c r="M102" i="7947"/>
  <c r="F75" i="7947"/>
  <c r="L33" i="7947"/>
  <c r="K33" i="7947"/>
  <c r="M115" i="7947"/>
  <c r="L103" i="7947"/>
  <c r="J117" i="7947"/>
  <c r="M116" i="7947"/>
  <c r="H103" i="7947"/>
  <c r="K6" i="7941"/>
  <c r="K504" i="18"/>
  <c r="K665" i="18"/>
  <c r="L71" i="7941"/>
  <c r="M438" i="18"/>
  <c r="O388" i="7941" l="1"/>
  <c r="O9" i="7944"/>
  <c r="O380" i="7941"/>
  <c r="O367" i="7941"/>
  <c r="O381" i="7941"/>
  <c r="O362" i="7941"/>
  <c r="O374" i="7941"/>
  <c r="O361" i="7941"/>
  <c r="O365" i="7941"/>
  <c r="O376" i="7941"/>
  <c r="O366" i="7941"/>
  <c r="O368" i="7941"/>
  <c r="N358" i="7941"/>
  <c r="O378" i="7941"/>
  <c r="O360" i="7941"/>
  <c r="O372" i="7941"/>
  <c r="O369" i="7941"/>
  <c r="M131" i="7947"/>
  <c r="M117" i="7947"/>
  <c r="E77" i="7948" s="1"/>
  <c r="G77" i="7948" s="1"/>
  <c r="G14" i="7948" s="1"/>
  <c r="N14" i="7952" s="1"/>
  <c r="M75" i="7947"/>
  <c r="E79" i="7948" s="1"/>
  <c r="G79" i="7948" s="1"/>
  <c r="G11" i="7948" s="1"/>
  <c r="N11" i="7952" s="1"/>
  <c r="M89" i="7947"/>
  <c r="E80" i="7948" s="1"/>
  <c r="G80" i="7948" s="1"/>
  <c r="G12" i="7948" s="1"/>
  <c r="N12" i="7952" s="1"/>
  <c r="M33" i="7947"/>
  <c r="E76" i="7948" s="1"/>
  <c r="G76" i="7948" s="1"/>
  <c r="G8" i="7948" s="1"/>
  <c r="N8" i="7952" s="1"/>
  <c r="O375" i="7941"/>
  <c r="P230" i="7941"/>
  <c r="P71" i="7941"/>
  <c r="P70" i="7941" s="1"/>
  <c r="P501" i="18"/>
  <c r="O359" i="7941"/>
  <c r="O262" i="7941"/>
  <c r="O326" i="7941"/>
  <c r="M103" i="7947"/>
  <c r="E81" i="7948" s="1"/>
  <c r="G81" i="7948" s="1"/>
  <c r="G13" i="7948" s="1"/>
  <c r="N13" i="7952" s="1"/>
  <c r="M19" i="7947"/>
  <c r="E75" i="7948" s="1"/>
  <c r="G75" i="7948" s="1"/>
  <c r="G7" i="7948" s="1"/>
  <c r="O385" i="7941"/>
  <c r="Q631" i="18"/>
  <c r="Q502" i="18"/>
  <c r="Q310" i="7941"/>
  <c r="Q251" i="7941"/>
  <c r="Q306" i="7941"/>
  <c r="P353" i="7941"/>
  <c r="P352" i="7941"/>
  <c r="Q245" i="7941"/>
  <c r="Q318" i="7941"/>
  <c r="P356" i="7941"/>
  <c r="Q232" i="7941"/>
  <c r="Q231" i="7941"/>
  <c r="P350" i="7941"/>
  <c r="P382" i="7941" s="1"/>
  <c r="P330" i="7941"/>
  <c r="Q315" i="7941"/>
  <c r="P334" i="7941"/>
  <c r="P336" i="7941"/>
  <c r="P329" i="7941"/>
  <c r="Q298" i="7941"/>
  <c r="Q297" i="7941"/>
  <c r="Q308" i="7941"/>
  <c r="Q249" i="7941"/>
  <c r="Q240" i="7941"/>
  <c r="P354" i="7941"/>
  <c r="Q302" i="7941"/>
  <c r="P338" i="7941"/>
  <c r="Q241" i="7941"/>
  <c r="Q317" i="7941"/>
  <c r="Q320" i="7941"/>
  <c r="Q304" i="7941"/>
  <c r="P348" i="7941"/>
  <c r="P339" i="7941"/>
  <c r="P344" i="7941"/>
  <c r="Q260" i="7941"/>
  <c r="Q256" i="7941"/>
  <c r="Q314" i="7941"/>
  <c r="Q313" i="7941"/>
  <c r="Q233" i="7941"/>
  <c r="Q319" i="7941"/>
  <c r="Q257" i="7941"/>
  <c r="P331" i="7941"/>
  <c r="Q301" i="7941"/>
  <c r="Q246" i="7941"/>
  <c r="Q374" i="7941" s="1"/>
  <c r="P355" i="7941"/>
  <c r="P349" i="7941"/>
  <c r="Q316" i="7941"/>
  <c r="P347" i="7941"/>
  <c r="Q255" i="7941"/>
  <c r="Q305" i="7941"/>
  <c r="Q239" i="7941"/>
  <c r="Q248" i="7941"/>
  <c r="Q247" i="7941"/>
  <c r="P346" i="7941"/>
  <c r="Q300" i="7941"/>
  <c r="P341" i="7941"/>
  <c r="Q250" i="7941"/>
  <c r="Q378" i="7941" s="1"/>
  <c r="P328" i="7941"/>
  <c r="P340" i="7941"/>
  <c r="Q237" i="7941"/>
  <c r="P343" i="7941"/>
  <c r="Q307" i="7941"/>
  <c r="P286" i="7941"/>
  <c r="Q311" i="7941"/>
  <c r="P335" i="7941"/>
  <c r="Q234" i="7941"/>
  <c r="Q299" i="7941"/>
  <c r="Q303" i="7941"/>
  <c r="P342" i="7941"/>
  <c r="P345" i="7941"/>
  <c r="Q259" i="7941"/>
  <c r="P351" i="7941"/>
  <c r="Q252" i="7941"/>
  <c r="Q258" i="7941"/>
  <c r="Q236" i="7941"/>
  <c r="Q364" i="7941" s="1"/>
  <c r="Q254" i="7941"/>
  <c r="P337" i="7941"/>
  <c r="Q238" i="7941"/>
  <c r="Q366" i="7941" s="1"/>
  <c r="Q244" i="7941"/>
  <c r="Q324" i="7941"/>
  <c r="Q323" i="7941"/>
  <c r="Q243" i="7941"/>
  <c r="Q371" i="7941" s="1"/>
  <c r="Q253" i="7941"/>
  <c r="Q295" i="7941"/>
  <c r="Q235" i="7941"/>
  <c r="Q309" i="7941"/>
  <c r="P333" i="7941"/>
  <c r="P332" i="7941"/>
  <c r="Q322" i="7941"/>
  <c r="Q296" i="7941"/>
  <c r="Q312" i="7941"/>
  <c r="Q242" i="7941"/>
  <c r="Q321" i="7941"/>
  <c r="P327" i="7941"/>
  <c r="P268" i="7941"/>
  <c r="P364" i="7941" s="1"/>
  <c r="P265" i="7941"/>
  <c r="P273" i="7941"/>
  <c r="P269" i="7941"/>
  <c r="P365" i="7941" s="1"/>
  <c r="P290" i="7941"/>
  <c r="P287" i="7941"/>
  <c r="P292" i="7941"/>
  <c r="P289" i="7941"/>
  <c r="P385" i="7941" s="1"/>
  <c r="P267" i="7941"/>
  <c r="P280" i="7941"/>
  <c r="P376" i="7941" s="1"/>
  <c r="P279" i="7941"/>
  <c r="P277" i="7941"/>
  <c r="P264" i="7941"/>
  <c r="P278" i="7941"/>
  <c r="P374" i="7941" s="1"/>
  <c r="P281" i="7941"/>
  <c r="P377" i="7941" s="1"/>
  <c r="P274" i="7941"/>
  <c r="P370" i="7941" s="1"/>
  <c r="P276" i="7941"/>
  <c r="P372" i="7941" s="1"/>
  <c r="P275" i="7941"/>
  <c r="P272" i="7941"/>
  <c r="P368" i="7941" s="1"/>
  <c r="P270" i="7941"/>
  <c r="P263" i="7941"/>
  <c r="P291" i="7941"/>
  <c r="P282" i="7941"/>
  <c r="P378" i="7941" s="1"/>
  <c r="P288" i="7941"/>
  <c r="P384" i="7941" s="1"/>
  <c r="P285" i="7941"/>
  <c r="P271" i="7941"/>
  <c r="P283" i="7941"/>
  <c r="P284" i="7941"/>
  <c r="P380" i="7941" s="1"/>
  <c r="P266" i="7941"/>
  <c r="P362" i="7941" s="1"/>
  <c r="O377" i="7941"/>
  <c r="O383" i="7941"/>
  <c r="P294" i="7941"/>
  <c r="M666" i="18"/>
  <c r="L199" i="7941"/>
  <c r="K73" i="7941"/>
  <c r="K501" i="18"/>
  <c r="L440" i="18"/>
  <c r="Q372" i="7941" l="1"/>
  <c r="O73" i="7944"/>
  <c r="O71" i="7944" s="1"/>
  <c r="O7" i="7944"/>
  <c r="P381" i="7941"/>
  <c r="P360" i="7941"/>
  <c r="P363" i="7941"/>
  <c r="Q370" i="7941"/>
  <c r="Q382" i="7941"/>
  <c r="Q365" i="7941"/>
  <c r="Q384" i="7941"/>
  <c r="P373" i="7941"/>
  <c r="P379" i="7941"/>
  <c r="P388" i="7941"/>
  <c r="P383" i="7941"/>
  <c r="P361" i="7941"/>
  <c r="Q363" i="7941"/>
  <c r="Q380" i="7941"/>
  <c r="Q375" i="7941"/>
  <c r="Q383" i="7941"/>
  <c r="Q373" i="7941"/>
  <c r="Q379" i="7941"/>
  <c r="Q369" i="7941"/>
  <c r="Q360" i="7941"/>
  <c r="O358" i="7941"/>
  <c r="Q377" i="7941"/>
  <c r="P359" i="7941"/>
  <c r="P262" i="7941"/>
  <c r="Q230" i="7941"/>
  <c r="Q359" i="7941"/>
  <c r="P386" i="7941"/>
  <c r="Q387" i="7941"/>
  <c r="P367" i="7941"/>
  <c r="P387" i="7941"/>
  <c r="P371" i="7941"/>
  <c r="P375" i="7941"/>
  <c r="P369" i="7941"/>
  <c r="P326" i="7941"/>
  <c r="Q386" i="7941"/>
  <c r="Q362" i="7941"/>
  <c r="Q294" i="7941"/>
  <c r="Q376" i="7941"/>
  <c r="Q368" i="7941"/>
  <c r="N7" i="7952"/>
  <c r="G17" i="7948"/>
  <c r="Q385" i="7941"/>
  <c r="P366" i="7941"/>
  <c r="Q381" i="7941"/>
  <c r="Q367" i="7941"/>
  <c r="Q361" i="7941"/>
  <c r="Q388" i="7941"/>
  <c r="Q71" i="7941"/>
  <c r="Q70" i="7941" s="1"/>
  <c r="Q501" i="18"/>
  <c r="L668" i="18"/>
  <c r="L437" i="18"/>
  <c r="K70" i="7941"/>
  <c r="K201" i="7941"/>
  <c r="K198" i="7941" s="1"/>
  <c r="L9" i="7941"/>
  <c r="M502" i="18"/>
  <c r="P9" i="7944" l="1"/>
  <c r="Q358" i="7941"/>
  <c r="P358" i="7941"/>
  <c r="M71" i="7941"/>
  <c r="L6" i="7941"/>
  <c r="L504" i="18"/>
  <c r="L665" i="18"/>
  <c r="P73" i="7944" l="1"/>
  <c r="P71" i="7944" s="1"/>
  <c r="Q9" i="7944"/>
  <c r="P7" i="7944"/>
  <c r="L73" i="7941"/>
  <c r="L501" i="18"/>
  <c r="M440" i="18"/>
  <c r="Q73" i="7944" l="1"/>
  <c r="Q71" i="7944" s="1"/>
  <c r="Q7" i="7944"/>
  <c r="M668" i="18"/>
  <c r="M437" i="18"/>
  <c r="L70" i="7941"/>
  <c r="L201" i="7941"/>
  <c r="R9" i="7944" l="1"/>
  <c r="R7" i="7944" s="1"/>
  <c r="L198" i="7941"/>
  <c r="M504" i="18"/>
  <c r="M665" i="18"/>
  <c r="L255" i="7941" l="1"/>
  <c r="L231" i="7941"/>
  <c r="L253" i="7941"/>
  <c r="L319" i="7941"/>
  <c r="L257" i="7941"/>
  <c r="L246" i="7941"/>
  <c r="L320" i="7941"/>
  <c r="L232" i="7941"/>
  <c r="L316" i="7941"/>
  <c r="L299" i="7941"/>
  <c r="L251" i="7941"/>
  <c r="L234" i="7941"/>
  <c r="L318" i="7941"/>
  <c r="L302" i="7941"/>
  <c r="L300" i="7941"/>
  <c r="L238" i="7941"/>
  <c r="L239" i="7941"/>
  <c r="L258" i="7941"/>
  <c r="L313" i="7941"/>
  <c r="L315" i="7941"/>
  <c r="L256" i="7941"/>
  <c r="L384" i="7941" s="1"/>
  <c r="L244" i="7941"/>
  <c r="L259" i="7941"/>
  <c r="L235" i="7941"/>
  <c r="L245" i="7941"/>
  <c r="L240" i="7941"/>
  <c r="L322" i="7941"/>
  <c r="L303" i="7941"/>
  <c r="L250" i="7941"/>
  <c r="L237" i="7941"/>
  <c r="L247" i="7941"/>
  <c r="L254" i="7941"/>
  <c r="L305" i="7941"/>
  <c r="L301" i="7941"/>
  <c r="L249" i="7941"/>
  <c r="L377" i="7941" s="1"/>
  <c r="L308" i="7941"/>
  <c r="L260" i="7941"/>
  <c r="L314" i="7941"/>
  <c r="L324" i="7941"/>
  <c r="L233" i="7941"/>
  <c r="L321" i="7941"/>
  <c r="L304" i="7941"/>
  <c r="L242" i="7941"/>
  <c r="L309" i="7941"/>
  <c r="L306" i="7941"/>
  <c r="L241" i="7941"/>
  <c r="L307" i="7941"/>
  <c r="L312" i="7941"/>
  <c r="L297" i="7941"/>
  <c r="L317" i="7941"/>
  <c r="L311" i="7941"/>
  <c r="L243" i="7941"/>
  <c r="L323" i="7941"/>
  <c r="L310" i="7941"/>
  <c r="L236" i="7941"/>
  <c r="L364" i="7941" s="1"/>
  <c r="T364" i="7941" s="1"/>
  <c r="J12" i="7952" s="1"/>
  <c r="L298" i="7941"/>
  <c r="L296" i="7941"/>
  <c r="L248" i="7941"/>
  <c r="L295" i="7941"/>
  <c r="L252" i="7941"/>
  <c r="M73" i="7941"/>
  <c r="M70" i="7941" s="1"/>
  <c r="M501" i="18"/>
  <c r="L363" i="7941" l="1"/>
  <c r="T363" i="7941" s="1"/>
  <c r="J11" i="7952" s="1"/>
  <c r="L366" i="7941"/>
  <c r="T366" i="7941" s="1"/>
  <c r="J14" i="7952" s="1"/>
  <c r="L294" i="7941"/>
  <c r="L376" i="7941"/>
  <c r="L383" i="7941"/>
  <c r="L380" i="7941"/>
  <c r="L369" i="7941"/>
  <c r="L382" i="7941"/>
  <c r="L371" i="7941"/>
  <c r="L361" i="7941"/>
  <c r="T361" i="7941" s="1"/>
  <c r="J9" i="7952" s="1"/>
  <c r="L365" i="7941"/>
  <c r="T365" i="7941" s="1"/>
  <c r="J13" i="7952" s="1"/>
  <c r="L368" i="7941"/>
  <c r="L372" i="7941"/>
  <c r="L386" i="7941"/>
  <c r="L362" i="7941"/>
  <c r="T362" i="7941" s="1"/>
  <c r="J10" i="7952" s="1"/>
  <c r="L360" i="7941"/>
  <c r="L374" i="7941"/>
  <c r="L230" i="7941"/>
  <c r="L359" i="7941"/>
  <c r="L370" i="7941"/>
  <c r="L388" i="7941"/>
  <c r="L375" i="7941"/>
  <c r="L378" i="7941"/>
  <c r="L373" i="7941"/>
  <c r="L387" i="7941"/>
  <c r="L367" i="7941"/>
  <c r="T367" i="7941" s="1"/>
  <c r="J18" i="7952" s="1"/>
  <c r="L379" i="7941"/>
  <c r="L385" i="7941"/>
  <c r="L381" i="7941"/>
  <c r="T360" i="7941" l="1"/>
  <c r="J8" i="7952" s="1"/>
  <c r="D26" i="7948"/>
  <c r="E26" i="7948" s="1"/>
  <c r="F8" i="7948" s="1"/>
  <c r="M8" i="7952" s="1"/>
  <c r="D25" i="7948"/>
  <c r="E25" i="7948" s="1"/>
  <c r="L358" i="7941"/>
  <c r="T359" i="7941"/>
  <c r="D27" i="7948"/>
  <c r="E27" i="7948" s="1"/>
  <c r="F14" i="7948" s="1"/>
  <c r="M14" i="7952" s="1"/>
  <c r="J7" i="7952" l="1"/>
  <c r="T358" i="7941"/>
  <c r="F7" i="7948"/>
  <c r="M7" i="7952" s="1"/>
  <c r="M36" i="7952" s="1"/>
  <c r="E33" i="7948"/>
  <c r="J36" i="7952" l="1"/>
  <c r="J37" i="7952" s="1"/>
  <c r="M37" i="7952"/>
  <c r="E34" i="7948"/>
  <c r="F17" i="7948"/>
</calcChain>
</file>

<file path=xl/comments1.xml><?xml version="1.0" encoding="utf-8"?>
<comments xmlns="http://schemas.openxmlformats.org/spreadsheetml/2006/main">
  <authors>
    <author>Rick Miles</author>
    <author>kyap</author>
    <author>OfficeXP</author>
    <author>lirla</author>
    <author>Fenella Douglas</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final year of the previous regulatory control period.</t>
        </r>
      </text>
    </comment>
    <comment ref="V6" authorId="0">
      <text>
        <r>
          <rPr>
            <sz val="8"/>
            <color indexed="81"/>
            <rFont val="Tahoma"/>
            <family val="2"/>
          </rPr>
          <t>Based on tax lives adopted for current regulatory control period, as per the current decision. Enter a valid numeric life or n/a.</t>
        </r>
      </text>
    </comment>
    <comment ref="W6" authorId="1">
      <text>
        <r>
          <rPr>
            <sz val="8"/>
            <color indexed="81"/>
            <rFont val="Tahoma"/>
            <family val="2"/>
          </rPr>
          <t>Set equal to tax life specified by the Australian Tax Office for the category of assets and commissioning date. Enter a valid numeric life or n/a.</t>
        </r>
      </text>
    </comment>
    <comment ref="X6" authorId="1">
      <text>
        <r>
          <rPr>
            <sz val="8"/>
            <color indexed="81"/>
            <rFont val="Tahoma"/>
            <family val="2"/>
          </rPr>
          <t>Insert the base financial year that the current regulatory control period commences in.</t>
        </r>
      </text>
    </comment>
    <comment ref="Y6" authorId="1">
      <text>
        <r>
          <rPr>
            <sz val="8"/>
            <color indexed="81"/>
            <rFont val="Tahoma"/>
            <family val="2"/>
          </rPr>
          <t>Insert the number of years for the current regulatory control period.</t>
        </r>
      </text>
    </comment>
    <comment ref="AC6" authorId="3">
      <text>
        <r>
          <rPr>
            <b/>
            <sz val="8"/>
            <color indexed="81"/>
            <rFont val="Tahoma"/>
            <family val="2"/>
          </rPr>
          <t>lirla:</t>
        </r>
        <r>
          <rPr>
            <sz val="8"/>
            <color indexed="81"/>
            <rFont val="Tahoma"/>
            <family val="2"/>
          </rPr>
          <t xml:space="preserve">
Capex for 2005 is based on Real Forecast Net Capex
</t>
        </r>
      </text>
    </comment>
    <comment ref="AE6" authorId="3">
      <text>
        <r>
          <rPr>
            <b/>
            <sz val="8"/>
            <color indexed="81"/>
            <rFont val="Tahoma"/>
            <family val="2"/>
          </rPr>
          <t>lirla:</t>
        </r>
        <r>
          <rPr>
            <sz val="8"/>
            <color indexed="81"/>
            <rFont val="Tahoma"/>
            <family val="2"/>
          </rPr>
          <t xml:space="preserve">
Based on Forecast Real Straight-line Depreciation for the period 2005-2010
</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4">
      <text>
        <r>
          <rPr>
            <b/>
            <sz val="9"/>
            <color indexed="81"/>
            <rFont val="Tahoma"/>
            <family val="2"/>
          </rPr>
          <t xml:space="preserve">Source:
</t>
        </r>
        <r>
          <rPr>
            <sz val="9"/>
            <color indexed="81"/>
            <rFont val="Tahoma"/>
            <family val="2"/>
          </rPr>
          <t xml:space="preserve">PAL Initial Proposal RFM
Input G177:L177
</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<sst xmlns="http://schemas.openxmlformats.org/spreadsheetml/2006/main" count="558" uniqueCount="215">
  <si>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</si>
  <si>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</si>
  <si>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</si>
  <si>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</si>
  <si>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</si>
  <si>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</si>
  <si>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</si>
  <si>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</si>
  <si>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</si>
  <si>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</si>
  <si>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</si>
  <si>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</si>
  <si>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</si>
  <si>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</si>
  <si>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</si>
  <si>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</si>
  <si>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</si>
  <si>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</si>
  <si>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</si>
  <si>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</si>
  <si>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</si>
  <si>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</si>
  <si>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</si>
  <si>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</si>
  <si>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</si>
  <si>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</si>
  <si>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</si>
  <si>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</si>
  <si>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</si>
  <si>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</si>
  <si>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</si>
  <si>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</si>
  <si>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</si>
  <si>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</si>
  <si>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</si>
  <si>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</si>
  <si>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</si>
  <si>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</si>
  <si>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</si>
  <si>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</si>
  <si>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</si>
  <si>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</si>
  <si>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</si>
  <si>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</si>
  <si>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</si>
  <si>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</si>
  <si>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</si>
  <si>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</si>
  <si>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</si>
  <si>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</si>
  <si>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</si>
  <si>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</si>
  <si>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</si>
  <si>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</si>
  <si>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</si>
  <si>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</si>
  <si>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</si>
  <si>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</si>
  <si>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</si>
  <si>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</si>
  <si>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</si>
  <si>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</si>
  <si>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</si>
  <si>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</si>
  <si>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</si>
  <si>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</si>
  <si>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</si>
  <si>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</si>
  <si>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</si>
  <si>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</si>
  <si>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</si>
  <si>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</si>
  <si>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</si>
  <si>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</si>
  <si>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</si>
  <si>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</si>
  <si>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</si>
  <si>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</si>
  <si>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</si>
  <si>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</si>
  <si>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</si>
  <si>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</si>
  <si>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</si>
  <si>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</si>
  <si>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</si>
  <si>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</si>
  <si>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</si>
  <si>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</si>
  <si>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</si>
  <si>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</si>
  <si>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</si>
  <si>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</si>
  <si>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</si>
  <si>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</si>
  <si>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</si>
  <si>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</si>
  <si>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</si>
  <si>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</si>
  <si>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</si>
  <si>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</si>
  <si>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</si>
  <si>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</si>
  <si>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</si>
  <si>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</si>
  <si>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</si>
  <si>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</si>
  <si>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</si>
  <si>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</si>
  <si>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</si>
  <si>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</si>
  <si>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</si>
  <si>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</si>
  <si>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</si>
  <si>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Closing Asset Value</t>
  </si>
  <si>
    <t>Average Remaining Life</t>
  </si>
  <si>
    <t>Length of Regulatory Control Period (Year)</t>
  </si>
  <si>
    <t>Tax Asset Catergories</t>
  </si>
  <si>
    <t>Tax depreciation rates</t>
  </si>
  <si>
    <t>n/a</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</si>
  <si>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</si>
  <si>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</si>
  <si>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</si>
  <si>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</si>
  <si>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</si>
  <si>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</si>
  <si>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</si>
  <si>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</si>
  <si>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</si>
  <si>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</si>
  <si>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</si>
  <si>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</si>
  <si>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</si>
  <si>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</si>
  <si>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SCADA/Network control</t>
  </si>
  <si>
    <t>Non-network general assets - IT</t>
  </si>
  <si>
    <t>Non-network general assets - Other</t>
  </si>
  <si>
    <t>Group 3</t>
  </si>
  <si>
    <t>Equity Raising Costs</t>
  </si>
  <si>
    <t>Subtransmission</t>
  </si>
  <si>
    <t>Distribution system assets</t>
  </si>
  <si>
    <t>Standard metering</t>
  </si>
  <si>
    <t>Public lighting</t>
  </si>
  <si>
    <t>Depreciation</t>
  </si>
  <si>
    <t>VBRC</t>
  </si>
  <si>
    <t>Equity raising</t>
  </si>
  <si>
    <t>Sept 2009 CPI</t>
  </si>
  <si>
    <t>March 2009 CPI</t>
  </si>
  <si>
    <t>6 months inflator</t>
  </si>
  <si>
    <t>Check</t>
  </si>
  <si>
    <t>Page No.</t>
  </si>
  <si>
    <t>Life (years)</t>
  </si>
  <si>
    <t>Control, monitoring, communications and protection systems</t>
  </si>
  <si>
    <t>Above ground (incorporating conductors; cross arms, insulators and fittings; poles – concrete, wood, steel or stobie; and transformers – pole or ground pad mounted)</t>
  </si>
  <si>
    <t>Combination of above ground and underground</t>
  </si>
  <si>
    <t>Underground (incorporating cables, fittings and ground pad mounted transformers)</t>
  </si>
  <si>
    <t>Distribution substations/transformers, pole or ground pad mounted</t>
  </si>
  <si>
    <t>Distribution zone substations (excluding control, monitoring, communications and protection systems)</t>
  </si>
  <si>
    <t>Transmission lines (incorporating conductors, insulators and towers)</t>
  </si>
  <si>
    <t>Computer: Generally</t>
  </si>
  <si>
    <t>Cars (motor vehicles designed to carry a load of less than one tonne and fewer than 9 passengers): General</t>
  </si>
  <si>
    <t>Light commercial vehicles designed to carry a load of one tonne or greater and having a gross vehicle mass of 3.5 tonnes or less</t>
  </si>
  <si>
    <t>Trucks having a gross vehicle mass greater than 3.5 tonnes (excluding off highway trucks used in mining operations)</t>
  </si>
  <si>
    <t>Economic Benchmarking RIN ($mn,2015)</t>
  </si>
  <si>
    <t>Total Capex</t>
  </si>
  <si>
    <t>Overhead distribution assets less than 33kV (wires and poles)</t>
  </si>
  <si>
    <t>Underground distribution assets less than 33kV (cables, ducts etc)</t>
  </si>
  <si>
    <t>Distribution substations including transformers</t>
  </si>
  <si>
    <t>Overhead assets 33kV and above (wires and towers / poles etc)</t>
  </si>
  <si>
    <t>Underground assets 33kV and above (cables, ducts etc)</t>
  </si>
  <si>
    <t>Zone substations</t>
  </si>
  <si>
    <t>check</t>
  </si>
  <si>
    <t>PTRM Std Tax Life (years)</t>
  </si>
  <si>
    <t>PTRM - Tax Standard Lives (Years)</t>
  </si>
  <si>
    <t>&lt;----Insert your net capex here---&gt;</t>
  </si>
  <si>
    <t>Net Capital Expenditure reported in Economic Bmk RIN</t>
  </si>
  <si>
    <t>Summary of PTRM Tax Inputs</t>
  </si>
  <si>
    <t>Opening Tax Value ($mn)</t>
  </si>
  <si>
    <t>Tax Remaining Life (years)</t>
  </si>
  <si>
    <t>Tax Standard Life (years)</t>
  </si>
  <si>
    <t>Estimating 2016 Opening Tax RAB</t>
  </si>
  <si>
    <t>Description</t>
  </si>
  <si>
    <t>Network Tax RAB</t>
  </si>
  <si>
    <t>New Tax Categories</t>
  </si>
  <si>
    <t>Proportion</t>
  </si>
  <si>
    <t>$mn, nom</t>
  </si>
  <si>
    <t>Distribution System Assets</t>
  </si>
  <si>
    <t>Standard Metering</t>
  </si>
  <si>
    <t>Total Opening Tax RAB</t>
  </si>
  <si>
    <t>Estimating Standard Lives</t>
  </si>
  <si>
    <t>Estimating Remaining Lives for 2016 Opening Tax RAB</t>
  </si>
  <si>
    <t>RAB Std Lives (years)</t>
  </si>
  <si>
    <t>Tax RAB Standard Lives (years)</t>
  </si>
  <si>
    <t>Tax RAB Remaining Lives (years)</t>
  </si>
  <si>
    <t>Mapping to RAB categories for 2016</t>
  </si>
  <si>
    <t>Network</t>
  </si>
  <si>
    <t>Adjustment for 2010 RAB from the 2006-2010 RFM</t>
  </si>
  <si>
    <t>Nominal Regulatory Depreciation</t>
  </si>
  <si>
    <t>Nominal Straight-line Depreciation</t>
  </si>
  <si>
    <t>Version: 01</t>
  </si>
  <si>
    <t>Date: 26 June 2008</t>
  </si>
  <si>
    <t>CP PTRM Asset Category</t>
  </si>
  <si>
    <t>From July 2014 ATO Ruling</t>
  </si>
  <si>
    <t>Supervisory cables</t>
  </si>
  <si>
    <t>CPI Adjustment</t>
  </si>
  <si>
    <t>Closing RAB including adjustment</t>
  </si>
  <si>
    <t>CPI Adjustment (Real $2010)</t>
  </si>
  <si>
    <t>Output Summary</t>
  </si>
  <si>
    <t>Average Remaining Life (Year)</t>
  </si>
  <si>
    <t>Standard Life (Year)</t>
  </si>
  <si>
    <t>Average Tax Remaining Life (Year)</t>
  </si>
  <si>
    <t>Tax Standard Life (Year)</t>
  </si>
  <si>
    <t>Old SWER ACRs</t>
  </si>
  <si>
    <t>RAB Remaining Lives (years) (for TAB calc)</t>
  </si>
  <si>
    <t>WARL</t>
  </si>
  <si>
    <t>Actual RAB roll forward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</si>
</sst>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_-;\-&quot;$&quot;* #,##0_-;_-&quot;$&quot;* &quot;-&quot;??_-;_-@_-"/>
    <numFmt numFmtId="177" formatCode="0.00000000"/>
    <numFmt numFmtId="178" formatCode="0.000"/>
    <numFmt numFmtId="179" formatCode="#,##0.000"/>
    <numFmt numFmtId="180" formatCode="_(* #,##0.0_);_(* \(#,##0.0\);_(* &quot;-&quot;??_);_(@_)"/>
  </numFmts>
  <fonts count="76">
    <font>
      <sz val="10"/>
      <name val="Arial"/>
    </font>
    <font>
      <sz val="10"/>
      <color theme="1"/>
      <name val="Arial"/>
      <family val="2"/>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3"/>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7.9"/>
      <name val="Arial"/>
      <family val="2"/>
    </font>
    <font>
      <sz val="10"/>
      <color indexed="10"/>
      <name val="Arial"/>
      <family val="2"/>
    </font>
    <font>
      <sz val="10"/>
      <color indexed="8"/>
      <name val="Arial"/>
      <family val="2"/>
    </font>
    <font>
      <sz val="10"/>
      <color indexed="8"/>
      <name val="Arial"/>
      <family val="2"/>
    </font>
    <font>
      <sz val="10"/>
      <color theme="1"/>
      <name val="Arial"/>
      <family val="2"/>
    </font>
    <font>
      <b/>
      <sz val="16"/>
      <color theme="0"/>
      <name val="Calibri"/>
      <family val="2"/>
      <scheme val="minor"/>
    </font>
    <font>
      <sz val="10"/>
      <color theme="0"/>
      <name val="Calibri"/>
      <family val="2"/>
      <scheme val="minor"/>
    </font>
    <font>
      <sz val="10"/>
      <color theme="1"/>
      <name val="Calibri"/>
      <family val="2"/>
      <scheme val="minor"/>
    </font>
    <font>
      <b/>
      <sz val="10"/>
      <color theme="0"/>
      <name val="Calibri"/>
      <family val="2"/>
      <scheme val="minor"/>
    </font>
    <font>
      <sz val="10"/>
      <color rgb="FFFF000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b/>
      <sz val="10"/>
      <color theme="1"/>
      <name val="Calibri"/>
      <family val="2"/>
      <scheme val="minor"/>
    </font>
    <font>
      <sz val="9"/>
      <color rgb="FFFF0000"/>
      <name val="Calibri"/>
      <family val="2"/>
      <scheme val="minor"/>
    </font>
    <font>
      <b/>
      <sz val="8"/>
      <color indexed="81"/>
      <name val="Tahoma"/>
      <family val="2"/>
    </font>
    <font>
      <sz val="12"/>
      <name val="Arial"/>
      <family val="2"/>
    </font>
    <font>
      <b/>
      <sz val="10"/>
      <color rgb="FFFF0000"/>
      <name val="Arial"/>
      <family val="2"/>
    </font>
    <font>
      <sz val="10"/>
      <color rgb="FFFF0000"/>
      <name val="Arial"/>
      <family val="2"/>
    </font>
    <font>
      <sz val="10"/>
      <color rgb="FF0000FF"/>
      <name val="Arial"/>
      <family val="2"/>
    </font>
    <font>
      <sz val="10"/>
      <color rgb="FF0000FF"/>
      <name val="Calibri"/>
      <family val="2"/>
      <scheme val="minor"/>
    </font>
    <font>
      <sz val="10"/>
      <color rgb="FF3333FF"/>
      <name val="Arial"/>
      <family val="2"/>
    </font>
    <font>
      <sz val="11"/>
      <color theme="1"/>
      <name val="Calibri"/>
      <family val="2"/>
      <scheme val="minor"/>
    </font>
    <font>
      <i/>
      <sz val="10"/>
      <color rgb="FFFF0000"/>
      <name val="Arial"/>
      <family val="2"/>
    </font>
    <font>
      <sz val="9"/>
      <color indexed="81"/>
      <name val="Tahoma"/>
      <family val="2"/>
    </font>
    <font>
      <b/>
      <sz val="9"/>
      <color indexed="81"/>
      <name val="Tahoma"/>
      <family val="2"/>
    </font>
  </fonts>
  <fills count="40">
    <fill>
      <patternFill patternType="none"/>
    </fill>
    <fill>
      <patternFill patternType="gray125"/>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49"/>
      </patternFill>
    </fill>
    <fill>
      <patternFill patternType="solid">
        <fgColor indexed="29"/>
      </patternFill>
    </fill>
    <fill>
      <patternFill patternType="solid">
        <fgColor indexed="43"/>
      </patternFill>
    </fill>
    <fill>
      <patternFill patternType="solid">
        <fgColor indexed="22"/>
      </patternFill>
    </fill>
    <fill>
      <patternFill patternType="solid">
        <fgColor indexed="21"/>
      </patternFill>
    </fill>
    <fill>
      <patternFill patternType="solid">
        <fgColor indexed="56"/>
      </patternFill>
    </fill>
    <fill>
      <patternFill patternType="solid">
        <fgColor indexed="10"/>
      </patternFill>
    </fill>
    <fill>
      <patternFill patternType="solid">
        <fgColor indexed="57"/>
      </patternFill>
    </fill>
    <fill>
      <patternFill patternType="solid">
        <fgColor indexed="23"/>
      </patternFill>
    </fill>
    <fill>
      <patternFill patternType="solid">
        <fgColor indexed="53"/>
      </patternFill>
    </fill>
    <fill>
      <patternFill patternType="solid">
        <fgColor indexed="61"/>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39997558519241921"/>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000"/>
        <bgColor indexed="64"/>
      </patternFill>
    </fill>
    <fill>
      <patternFill patternType="gray0625">
        <bgColor indexed="9"/>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medium">
        <color indexed="21"/>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s>
  <cellStyleXfs count="7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2" fillId="16" borderId="0" applyNumberFormat="0" applyBorder="0" applyAlignment="0" applyProtection="0"/>
    <xf numFmtId="164" fontId="5" fillId="17" borderId="0" applyNumberFormat="0" applyFont="0" applyBorder="0" applyAlignment="0">
      <alignment horizontal="right"/>
    </xf>
    <xf numFmtId="0" fontId="33" fillId="5" borderId="1" applyNumberFormat="0" applyAlignment="0" applyProtection="0"/>
    <xf numFmtId="0" fontId="34" fillId="18" borderId="2" applyNumberFormat="0" applyAlignment="0" applyProtection="0"/>
    <xf numFmtId="166" fontId="2" fillId="0" borderId="0" applyFont="0" applyFill="0" applyBorder="0" applyAlignment="0" applyProtection="0"/>
    <xf numFmtId="165" fontId="2" fillId="0" borderId="0" applyFont="0" applyFill="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173" fontId="2" fillId="19" borderId="0" applyFont="0" applyBorder="0">
      <alignment horizontal="right"/>
    </xf>
    <xf numFmtId="167" fontId="2" fillId="19" borderId="0" applyFont="0" applyBorder="0" applyAlignment="0"/>
    <xf numFmtId="173" fontId="2" fillId="19" borderId="0" applyFont="0" applyBorder="0">
      <alignment horizontal="right"/>
    </xf>
    <xf numFmtId="0" fontId="40" fillId="3" borderId="1" applyNumberFormat="0" applyAlignment="0" applyProtection="0"/>
    <xf numFmtId="164" fontId="2" fillId="20" borderId="0" applyFont="0" applyBorder="0" applyAlignment="0">
      <alignment horizontal="right"/>
      <protection locked="0"/>
    </xf>
    <xf numFmtId="10" fontId="2" fillId="20" borderId="0" applyFont="0" applyBorder="0">
      <alignment horizontal="right"/>
      <protection locked="0"/>
    </xf>
    <xf numFmtId="164" fontId="2" fillId="20" borderId="0" applyFont="0" applyBorder="0" applyAlignment="0">
      <alignment horizontal="right"/>
      <protection locked="0"/>
    </xf>
    <xf numFmtId="3" fontId="2" fillId="21" borderId="0" applyFont="0" applyBorder="0">
      <protection locked="0"/>
    </xf>
    <xf numFmtId="167" fontId="25" fillId="21" borderId="0" applyBorder="0" applyAlignment="0">
      <protection locked="0"/>
    </xf>
    <xf numFmtId="174" fontId="2" fillId="22" borderId="0" applyFont="0" applyBorder="0">
      <alignment horizontal="right"/>
      <protection locked="0"/>
    </xf>
    <xf numFmtId="164" fontId="2" fillId="19" borderId="0" applyFont="0" applyBorder="0">
      <alignment horizontal="right"/>
      <protection locked="0"/>
    </xf>
    <xf numFmtId="167" fontId="26" fillId="23" borderId="0" applyBorder="0" applyAlignment="0"/>
    <xf numFmtId="0" fontId="41" fillId="0" borderId="6" applyNumberFormat="0" applyFill="0" applyAlignment="0" applyProtection="0"/>
    <xf numFmtId="173" fontId="27" fillId="17" borderId="7" applyFont="0" applyBorder="0" applyAlignment="0"/>
    <xf numFmtId="167" fontId="25" fillId="17" borderId="0" applyFont="0" applyBorder="0" applyAlignment="0"/>
    <xf numFmtId="0" fontId="42" fillId="8" borderId="0" applyNumberFormat="0" applyBorder="0" applyAlignment="0" applyProtection="0"/>
    <xf numFmtId="0" fontId="2" fillId="0" borderId="0"/>
    <xf numFmtId="0" fontId="5" fillId="4" borderId="8" applyNumberFormat="0" applyFont="0" applyAlignment="0" applyProtection="0"/>
    <xf numFmtId="0" fontId="43" fillId="5" borderId="9" applyNumberFormat="0" applyAlignment="0" applyProtection="0"/>
    <xf numFmtId="9" fontId="2" fillId="0" borderId="0" applyFont="0" applyFill="0" applyBorder="0" applyAlignment="0" applyProtection="0"/>
    <xf numFmtId="0" fontId="44" fillId="0" borderId="0" applyNumberFormat="0" applyFill="0" applyBorder="0" applyAlignment="0" applyProtection="0"/>
    <xf numFmtId="0" fontId="45" fillId="0" borderId="10" applyNumberFormat="0" applyFill="0" applyAlignment="0" applyProtection="0"/>
    <xf numFmtId="0" fontId="46" fillId="0" borderId="0" applyNumberFormat="0" applyFill="0" applyBorder="0" applyAlignment="0" applyProtection="0"/>
    <xf numFmtId="0" fontId="2" fillId="0" borderId="0"/>
    <xf numFmtId="0" fontId="1"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4" fontId="2" fillId="20" borderId="0" applyFont="0" applyBorder="0" applyAlignment="0">
      <alignment horizontal="right"/>
      <protection locked="0"/>
    </xf>
    <xf numFmtId="164" fontId="2" fillId="19" borderId="0" applyFont="0" applyBorder="0">
      <alignment horizontal="right"/>
      <protection locked="0"/>
    </xf>
    <xf numFmtId="9" fontId="72" fillId="0" borderId="0" applyFont="0" applyFill="0" applyBorder="0" applyAlignment="0" applyProtection="0"/>
  </cellStyleXfs>
  <cellXfs count="563">
    <xf numFmtId="0" fontId="0" fillId="0" borderId="0" xfId="0"/>
    <xf numFmtId="0" fontId="3" fillId="24" borderId="1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56" applyNumberFormat="1"/>
    <xf numFmtId="0" fontId="0" fillId="25" borderId="0" xfId="0" applyFill="1"/>
    <xf numFmtId="0" fontId="9" fillId="0" borderId="0" xfId="0" applyFont="1"/>
    <xf numFmtId="0" fontId="0" fillId="0" borderId="0" xfId="0" applyAlignment="1"/>
    <xf numFmtId="0" fontId="0" fillId="26" borderId="0" xfId="0" applyFill="1" applyBorder="1" applyAlignment="1">
      <alignment wrapText="1"/>
    </xf>
    <xf numFmtId="0" fontId="0" fillId="26" borderId="0" xfId="0" applyFill="1"/>
    <xf numFmtId="0" fontId="3" fillId="26" borderId="0" xfId="0" applyFont="1" applyFill="1" applyAlignment="1">
      <alignment horizontal="center" wrapText="1"/>
    </xf>
    <xf numFmtId="10" fontId="3" fillId="26" borderId="0" xfId="56" applyNumberFormat="1" applyFont="1" applyFill="1" applyAlignment="1">
      <alignment horizontal="center" wrapText="1"/>
    </xf>
    <xf numFmtId="0" fontId="0" fillId="26" borderId="0" xfId="0" applyFill="1" applyBorder="1"/>
    <xf numFmtId="0" fontId="5" fillId="26" borderId="0" xfId="0" applyFont="1" applyFill="1" applyBorder="1" applyAlignment="1">
      <alignment wrapText="1"/>
    </xf>
    <xf numFmtId="0" fontId="0" fillId="26" borderId="0" xfId="0" applyFill="1" applyBorder="1" applyAlignment="1">
      <alignment vertical="center" wrapText="1"/>
    </xf>
    <xf numFmtId="0" fontId="5" fillId="26" borderId="0" xfId="0" applyFont="1" applyFill="1" applyBorder="1" applyAlignment="1">
      <alignment horizontal="left" vertical="center"/>
    </xf>
    <xf numFmtId="0" fontId="3" fillId="26" borderId="0" xfId="0" applyFont="1" applyFill="1" applyBorder="1" applyAlignment="1">
      <alignment horizontal="center"/>
    </xf>
    <xf numFmtId="0" fontId="3" fillId="26" borderId="0" xfId="0" applyFont="1" applyFill="1" applyBorder="1"/>
    <xf numFmtId="0" fontId="0" fillId="26" borderId="0" xfId="0" applyFill="1" applyAlignment="1">
      <alignment horizontal="center"/>
    </xf>
    <xf numFmtId="0" fontId="0" fillId="26" borderId="0" xfId="0" applyFill="1" applyAlignment="1"/>
    <xf numFmtId="10" fontId="2" fillId="26" borderId="0" xfId="56" applyNumberFormat="1" applyFill="1"/>
    <xf numFmtId="10" fontId="0" fillId="26" borderId="0" xfId="56" applyNumberFormat="1" applyFont="1" applyFill="1"/>
    <xf numFmtId="167" fontId="0" fillId="26" borderId="0" xfId="56" applyNumberFormat="1" applyFont="1" applyFill="1"/>
    <xf numFmtId="170" fontId="5" fillId="26" borderId="0" xfId="29" applyNumberFormat="1" applyFont="1" applyFill="1"/>
    <xf numFmtId="0" fontId="3" fillId="24" borderId="0" xfId="0" applyFont="1" applyFill="1" applyBorder="1" applyAlignment="1">
      <alignment horizontal="center"/>
    </xf>
    <xf numFmtId="0" fontId="11" fillId="26" borderId="0" xfId="0" applyFont="1" applyFill="1" applyAlignment="1">
      <alignment horizontal="center"/>
    </xf>
    <xf numFmtId="0" fontId="11" fillId="26" borderId="0" xfId="0" applyFont="1" applyFill="1" applyAlignment="1">
      <alignment horizontal="right"/>
    </xf>
    <xf numFmtId="166" fontId="11" fillId="26" borderId="0" xfId="29" applyFont="1" applyFill="1" applyAlignment="1">
      <alignment horizontal="left"/>
    </xf>
    <xf numFmtId="170" fontId="0" fillId="26" borderId="0" xfId="29" applyNumberFormat="1" applyFont="1" applyFill="1"/>
    <xf numFmtId="168" fontId="0" fillId="26" borderId="0" xfId="0" applyNumberFormat="1" applyFill="1"/>
    <xf numFmtId="166" fontId="11" fillId="26" borderId="0" xfId="29" applyFont="1" applyFill="1" applyAlignment="1">
      <alignment horizontal="right"/>
    </xf>
    <xf numFmtId="166" fontId="5" fillId="26" borderId="0" xfId="29" applyFont="1" applyFill="1"/>
    <xf numFmtId="0" fontId="3" fillId="26" borderId="0" xfId="0" applyFont="1" applyFill="1" applyAlignment="1">
      <alignment horizontal="right"/>
    </xf>
    <xf numFmtId="0" fontId="0" fillId="26" borderId="12" xfId="0" applyFill="1" applyBorder="1"/>
    <xf numFmtId="0" fontId="3" fillId="26" borderId="12" xfId="0" applyFont="1" applyFill="1" applyBorder="1" applyAlignment="1">
      <alignment horizontal="right"/>
    </xf>
    <xf numFmtId="170" fontId="5" fillId="0" borderId="12" xfId="29" applyNumberFormat="1" applyFont="1" applyFill="1" applyBorder="1"/>
    <xf numFmtId="166" fontId="11" fillId="26" borderId="12" xfId="29" applyFont="1" applyFill="1" applyBorder="1" applyAlignment="1">
      <alignment horizontal="right"/>
    </xf>
    <xf numFmtId="166" fontId="0" fillId="26" borderId="0" xfId="0" applyNumberFormat="1" applyFill="1"/>
    <xf numFmtId="165" fontId="12" fillId="26" borderId="0" xfId="30" applyFont="1" applyFill="1" applyBorder="1" applyAlignment="1">
      <alignment horizontal="center" vertical="center"/>
    </xf>
    <xf numFmtId="0" fontId="3" fillId="26" borderId="0" xfId="0" applyFont="1" applyFill="1" applyBorder="1" applyAlignment="1">
      <alignment vertical="center"/>
    </xf>
    <xf numFmtId="0" fontId="5" fillId="26" borderId="0" xfId="0" applyFont="1" applyFill="1" applyBorder="1" applyAlignment="1">
      <alignment vertical="center"/>
    </xf>
    <xf numFmtId="10" fontId="2" fillId="26" borderId="0" xfId="56" applyNumberFormat="1" applyFill="1" applyBorder="1"/>
    <xf numFmtId="0" fontId="9" fillId="26" borderId="0" xfId="0" applyFont="1" applyFill="1" applyBorder="1" applyAlignment="1"/>
    <xf numFmtId="0" fontId="9" fillId="26" borderId="0" xfId="0" applyFont="1" applyFill="1"/>
    <xf numFmtId="0" fontId="0" fillId="26" borderId="0" xfId="0" applyFill="1" applyAlignment="1">
      <alignment wrapText="1"/>
    </xf>
    <xf numFmtId="0" fontId="0" fillId="26" borderId="0" xfId="0" applyFill="1" applyBorder="1" applyAlignment="1"/>
    <xf numFmtId="0" fontId="5" fillId="26" borderId="0" xfId="0" applyFont="1" applyFill="1"/>
    <xf numFmtId="166" fontId="11" fillId="26" borderId="13" xfId="29" applyFont="1" applyFill="1" applyBorder="1" applyAlignment="1">
      <alignment horizontal="right"/>
    </xf>
    <xf numFmtId="165" fontId="0" fillId="26" borderId="0" xfId="0" applyNumberFormat="1" applyFill="1"/>
    <xf numFmtId="0" fontId="5" fillId="0" borderId="0" xfId="0" applyFont="1"/>
    <xf numFmtId="10" fontId="2" fillId="26" borderId="0" xfId="29" applyNumberFormat="1" applyFill="1" applyBorder="1"/>
    <xf numFmtId="0" fontId="6" fillId="26" borderId="0" xfId="0" applyFont="1" applyFill="1" applyBorder="1" applyAlignment="1">
      <alignment horizontal="center" vertical="center"/>
    </xf>
    <xf numFmtId="0" fontId="13" fillId="26" borderId="0" xfId="0" applyFont="1" applyFill="1" applyBorder="1" applyAlignment="1">
      <alignment horizontal="center"/>
    </xf>
    <xf numFmtId="0" fontId="8" fillId="26" borderId="0" xfId="0" applyFont="1" applyFill="1" applyBorder="1"/>
    <xf numFmtId="0" fontId="5" fillId="26" borderId="0" xfId="0" applyFont="1" applyFill="1" applyBorder="1" applyAlignment="1"/>
    <xf numFmtId="0" fontId="5" fillId="26" borderId="12" xfId="0" applyFont="1" applyFill="1" applyBorder="1"/>
    <xf numFmtId="0" fontId="3" fillId="26" borderId="12" xfId="0" applyFont="1" applyFill="1" applyBorder="1"/>
    <xf numFmtId="0" fontId="8" fillId="26" borderId="0" xfId="0" applyFont="1" applyFill="1" applyBorder="1" applyAlignment="1">
      <alignment horizontal="left"/>
    </xf>
    <xf numFmtId="0" fontId="3" fillId="26" borderId="12" xfId="0" applyFont="1" applyFill="1" applyBorder="1" applyAlignment="1">
      <alignment horizontal="center"/>
    </xf>
    <xf numFmtId="0" fontId="3" fillId="26" borderId="12" xfId="0" applyFont="1" applyFill="1" applyBorder="1" applyAlignment="1">
      <alignment horizontal="left"/>
    </xf>
    <xf numFmtId="0" fontId="13" fillId="26" borderId="12" xfId="0" applyFont="1" applyFill="1" applyBorder="1" applyAlignment="1">
      <alignment horizontal="center"/>
    </xf>
    <xf numFmtId="165" fontId="11" fillId="26" borderId="0" xfId="30" applyFont="1" applyFill="1" applyBorder="1" applyAlignment="1">
      <alignment horizontal="center" vertical="center"/>
    </xf>
    <xf numFmtId="166" fontId="5" fillId="27" borderId="14" xfId="29" applyNumberFormat="1" applyFont="1" applyFill="1" applyBorder="1" applyAlignment="1">
      <alignment horizontal="right" vertical="center"/>
    </xf>
    <xf numFmtId="166" fontId="5" fillId="27" borderId="0" xfId="29" applyNumberFormat="1" applyFont="1" applyFill="1" applyBorder="1" applyAlignment="1">
      <alignment horizontal="right" vertical="center"/>
    </xf>
    <xf numFmtId="166" fontId="5" fillId="27" borderId="0" xfId="29" applyFont="1" applyFill="1" applyBorder="1" applyAlignment="1">
      <alignment horizontal="center" vertical="center"/>
    </xf>
    <xf numFmtId="169" fontId="11" fillId="26" borderId="0" xfId="29" applyNumberFormat="1" applyFont="1" applyFill="1"/>
    <xf numFmtId="169" fontId="11" fillId="26" borderId="0" xfId="29" applyNumberFormat="1" applyFont="1" applyFill="1" applyAlignment="1">
      <alignment horizontal="right"/>
    </xf>
    <xf numFmtId="169" fontId="11" fillId="26" borderId="0" xfId="0" applyNumberFormat="1" applyFont="1" applyFill="1"/>
    <xf numFmtId="166" fontId="11" fillId="26" borderId="12" xfId="29" applyNumberFormat="1" applyFont="1" applyFill="1" applyBorder="1" applyAlignment="1">
      <alignment horizontal="right"/>
    </xf>
    <xf numFmtId="166" fontId="11" fillId="26" borderId="0" xfId="29" applyNumberFormat="1" applyFont="1" applyFill="1" applyAlignment="1">
      <alignment horizontal="right"/>
    </xf>
    <xf numFmtId="0" fontId="9" fillId="17" borderId="11" xfId="0" applyFont="1" applyFill="1" applyBorder="1"/>
    <xf numFmtId="0" fontId="8" fillId="17" borderId="11" xfId="0" applyFont="1" applyFill="1" applyBorder="1"/>
    <xf numFmtId="0" fontId="8" fillId="17" borderId="11" xfId="0" applyFont="1" applyFill="1" applyBorder="1" applyAlignment="1">
      <alignment horizontal="center"/>
    </xf>
    <xf numFmtId="10" fontId="8" fillId="17" borderId="11" xfId="56" applyNumberFormat="1" applyFont="1" applyFill="1" applyBorder="1" applyAlignment="1">
      <alignment horizontal="center"/>
    </xf>
    <xf numFmtId="0" fontId="0" fillId="28" borderId="11" xfId="0" applyFill="1" applyBorder="1"/>
    <xf numFmtId="0" fontId="0" fillId="28" borderId="11" xfId="0" applyFill="1" applyBorder="1" applyAlignment="1">
      <alignment wrapText="1"/>
    </xf>
    <xf numFmtId="165" fontId="3" fillId="28" borderId="11" xfId="0" applyNumberFormat="1" applyFont="1" applyFill="1" applyBorder="1" applyAlignment="1">
      <alignment horizontal="center" wrapText="1"/>
    </xf>
    <xf numFmtId="0" fontId="8" fillId="28" borderId="11" xfId="0" applyFont="1" applyFill="1" applyBorder="1" applyAlignment="1">
      <alignment vertical="center"/>
    </xf>
    <xf numFmtId="0" fontId="2" fillId="28" borderId="11" xfId="0" applyFont="1" applyFill="1" applyBorder="1"/>
    <xf numFmtId="0" fontId="10" fillId="28" borderId="11" xfId="0" applyFont="1" applyFill="1" applyBorder="1" applyAlignment="1">
      <alignment vertical="center" wrapText="1"/>
    </xf>
    <xf numFmtId="0" fontId="10" fillId="28" borderId="11" xfId="0" applyFont="1" applyFill="1" applyBorder="1" applyAlignment="1">
      <alignment wrapText="1"/>
    </xf>
    <xf numFmtId="0" fontId="3" fillId="28" borderId="11" xfId="0" applyFont="1" applyFill="1" applyBorder="1"/>
    <xf numFmtId="0" fontId="3" fillId="17" borderId="11" xfId="0" applyFont="1" applyFill="1" applyBorder="1" applyAlignment="1">
      <alignment horizontal="center"/>
    </xf>
    <xf numFmtId="0" fontId="8" fillId="17" borderId="11" xfId="0" applyFont="1" applyFill="1" applyBorder="1" applyAlignment="1">
      <alignment horizontal="left"/>
    </xf>
    <xf numFmtId="170" fontId="5" fillId="28" borderId="11" xfId="29" applyNumberFormat="1" applyFont="1" applyFill="1" applyBorder="1"/>
    <xf numFmtId="166" fontId="5" fillId="28" borderId="11" xfId="29" applyFont="1" applyFill="1" applyBorder="1"/>
    <xf numFmtId="10" fontId="0" fillId="26" borderId="0" xfId="56" applyNumberFormat="1" applyFont="1" applyFill="1" applyBorder="1"/>
    <xf numFmtId="0" fontId="14" fillId="28" borderId="15" xfId="0" applyFont="1" applyFill="1" applyBorder="1" applyAlignment="1">
      <alignment horizontal="center"/>
    </xf>
    <xf numFmtId="0" fontId="14" fillId="28" borderId="16" xfId="0" applyFont="1" applyFill="1" applyBorder="1" applyAlignment="1">
      <alignment horizontal="center"/>
    </xf>
    <xf numFmtId="165" fontId="0" fillId="0" borderId="0" xfId="0" applyNumberFormat="1"/>
    <xf numFmtId="0" fontId="5" fillId="26" borderId="0" xfId="0" applyFont="1" applyFill="1" applyBorder="1"/>
    <xf numFmtId="10" fontId="5" fillId="26" borderId="12" xfId="56" applyNumberFormat="1" applyFont="1" applyFill="1" applyBorder="1" applyAlignment="1" applyProtection="1">
      <alignment horizontal="center"/>
    </xf>
    <xf numFmtId="166" fontId="5" fillId="26" borderId="0" xfId="29" applyNumberFormat="1" applyFont="1" applyFill="1" applyBorder="1" applyAlignment="1">
      <alignment horizontal="right" vertical="center"/>
    </xf>
    <xf numFmtId="171" fontId="2" fillId="26" borderId="0" xfId="29" applyNumberFormat="1" applyFill="1" applyBorder="1"/>
    <xf numFmtId="0" fontId="2" fillId="26" borderId="0" xfId="53" applyFill="1" applyBorder="1"/>
    <xf numFmtId="10" fontId="2" fillId="26" borderId="0" xfId="53" applyNumberFormat="1" applyFill="1" applyBorder="1"/>
    <xf numFmtId="0" fontId="2" fillId="26" borderId="0" xfId="53" applyFont="1" applyFill="1" applyBorder="1"/>
    <xf numFmtId="0" fontId="5" fillId="26" borderId="0" xfId="53" applyFont="1" applyFill="1" applyBorder="1"/>
    <xf numFmtId="0" fontId="4" fillId="28" borderId="11" xfId="0" applyFont="1" applyFill="1" applyBorder="1" applyAlignment="1">
      <alignment vertical="center"/>
    </xf>
    <xf numFmtId="172" fontId="0" fillId="26" borderId="0" xfId="29" applyNumberFormat="1" applyFont="1" applyFill="1"/>
    <xf numFmtId="167" fontId="0" fillId="26" borderId="0" xfId="56" applyNumberFormat="1" applyFont="1" applyFill="1" applyBorder="1"/>
    <xf numFmtId="168" fontId="0" fillId="26" borderId="0" xfId="0" applyNumberFormat="1" applyFill="1" applyBorder="1"/>
    <xf numFmtId="166" fontId="11" fillId="26" borderId="0" xfId="29" applyFont="1" applyFill="1" applyBorder="1" applyAlignment="1">
      <alignment horizontal="right"/>
    </xf>
    <xf numFmtId="169" fontId="11" fillId="26" borderId="0" xfId="29" applyNumberFormat="1" applyFont="1" applyFill="1" applyBorder="1"/>
    <xf numFmtId="166" fontId="11" fillId="26" borderId="0" xfId="29" applyNumberFormat="1" applyFont="1" applyFill="1" applyBorder="1" applyAlignment="1">
      <alignment horizontal="right"/>
    </xf>
    <xf numFmtId="169" fontId="11" fillId="26" borderId="0" xfId="29" applyNumberFormat="1" applyFont="1" applyFill="1" applyBorder="1" applyAlignment="1">
      <alignment horizontal="right"/>
    </xf>
    <xf numFmtId="169" fontId="11" fillId="26" borderId="0" xfId="0" applyNumberFormat="1" applyFont="1" applyFill="1" applyBorder="1"/>
    <xf numFmtId="166" fontId="5" fillId="26" borderId="0" xfId="29" applyFont="1" applyFill="1" applyBorder="1"/>
    <xf numFmtId="10" fontId="2" fillId="27" borderId="14" xfId="56" applyNumberFormat="1" applyFill="1" applyBorder="1"/>
    <xf numFmtId="0" fontId="0" fillId="17" borderId="11" xfId="0" applyFill="1" applyBorder="1"/>
    <xf numFmtId="170" fontId="3" fillId="28" borderId="11" xfId="29" applyNumberFormat="1" applyFont="1" applyFill="1" applyBorder="1"/>
    <xf numFmtId="2" fontId="0" fillId="26" borderId="0" xfId="0" applyNumberFormat="1" applyFill="1"/>
    <xf numFmtId="166" fontId="16" fillId="26" borderId="0" xfId="0" applyNumberFormat="1" applyFont="1" applyFill="1"/>
    <xf numFmtId="166" fontId="5" fillId="26" borderId="0" xfId="29" applyNumberFormat="1" applyFont="1" applyFill="1" applyAlignment="1">
      <alignment horizontal="right"/>
    </xf>
    <xf numFmtId="0" fontId="5" fillId="26" borderId="0" xfId="0" quotePrefix="1" applyFont="1" applyFill="1" applyBorder="1" applyAlignment="1">
      <alignment horizontal="right"/>
    </xf>
    <xf numFmtId="170" fontId="5" fillId="26" borderId="0" xfId="29" applyNumberFormat="1" applyFont="1" applyFill="1" applyBorder="1"/>
    <xf numFmtId="166" fontId="0" fillId="26" borderId="0" xfId="29" applyNumberFormat="1" applyFont="1" applyFill="1"/>
    <xf numFmtId="166" fontId="5" fillId="26" borderId="0" xfId="0" applyNumberFormat="1" applyFont="1" applyFill="1"/>
    <xf numFmtId="166" fontId="11" fillId="26" borderId="13" xfId="29" applyNumberFormat="1" applyFont="1" applyFill="1" applyBorder="1" applyAlignment="1">
      <alignment horizontal="right"/>
    </xf>
    <xf numFmtId="166" fontId="5" fillId="26" borderId="0" xfId="29" applyNumberFormat="1" applyFont="1" applyFill="1"/>
    <xf numFmtId="166" fontId="5" fillId="28" borderId="11" xfId="29" applyNumberFormat="1" applyFont="1" applyFill="1" applyBorder="1"/>
    <xf numFmtId="166" fontId="5" fillId="26" borderId="0" xfId="29" applyNumberFormat="1" applyFont="1" applyFill="1" applyBorder="1"/>
    <xf numFmtId="0" fontId="0" fillId="28" borderId="0" xfId="0" applyFill="1" applyBorder="1"/>
    <xf numFmtId="170" fontId="3" fillId="26" borderId="0" xfId="29" applyNumberFormat="1" applyFont="1" applyFill="1" applyBorder="1"/>
    <xf numFmtId="166" fontId="16" fillId="26" borderId="0" xfId="29" applyNumberFormat="1" applyFont="1" applyFill="1"/>
    <xf numFmtId="0" fontId="5" fillId="17" borderId="11" xfId="0" applyFont="1" applyFill="1" applyBorder="1"/>
    <xf numFmtId="0" fontId="5" fillId="17" borderId="11" xfId="0" quotePrefix="1" applyFont="1" applyFill="1" applyBorder="1" applyAlignment="1">
      <alignment horizontal="right"/>
    </xf>
    <xf numFmtId="170" fontId="0" fillId="17" borderId="11" xfId="29" applyNumberFormat="1" applyFont="1" applyFill="1" applyBorder="1"/>
    <xf numFmtId="166" fontId="0" fillId="17" borderId="11" xfId="0" applyNumberFormat="1" applyFill="1" applyBorder="1"/>
    <xf numFmtId="168" fontId="0" fillId="17" borderId="11" xfId="0" applyNumberFormat="1" applyFill="1" applyBorder="1"/>
    <xf numFmtId="0" fontId="11" fillId="26" borderId="0" xfId="0" quotePrefix="1" applyFont="1" applyFill="1" applyBorder="1" applyAlignment="1">
      <alignment horizontal="right"/>
    </xf>
    <xf numFmtId="0" fontId="5" fillId="27" borderId="17" xfId="29" applyNumberFormat="1" applyFont="1" applyFill="1" applyBorder="1" applyAlignment="1">
      <alignment horizontal="right" vertical="center"/>
    </xf>
    <xf numFmtId="0" fontId="17" fillId="26" borderId="0" xfId="0" applyFont="1" applyFill="1"/>
    <xf numFmtId="0" fontId="0" fillId="28" borderId="13" xfId="0" applyFill="1" applyBorder="1"/>
    <xf numFmtId="0" fontId="18" fillId="28" borderId="0" xfId="0" applyFont="1" applyFill="1" applyBorder="1"/>
    <xf numFmtId="0" fontId="0" fillId="28" borderId="12" xfId="0" applyFill="1" applyBorder="1"/>
    <xf numFmtId="0" fontId="0" fillId="17" borderId="0" xfId="0" applyFill="1"/>
    <xf numFmtId="0" fontId="19" fillId="26" borderId="0" xfId="0" applyFont="1" applyFill="1"/>
    <xf numFmtId="0" fontId="5" fillId="26" borderId="0" xfId="0" applyNumberFormat="1" applyFont="1" applyFill="1" applyBorder="1" applyAlignment="1">
      <alignment vertical="center"/>
    </xf>
    <xf numFmtId="167" fontId="2" fillId="26" borderId="0" xfId="56" applyNumberFormat="1" applyFill="1"/>
    <xf numFmtId="167" fontId="2" fillId="26" borderId="0" xfId="56" applyNumberFormat="1" applyFill="1" applyBorder="1"/>
    <xf numFmtId="166" fontId="2" fillId="26" borderId="0" xfId="29" applyNumberFormat="1" applyFill="1"/>
    <xf numFmtId="170" fontId="2" fillId="26" borderId="0" xfId="29" applyNumberFormat="1" applyFill="1"/>
    <xf numFmtId="170" fontId="0" fillId="26" borderId="0" xfId="29" applyNumberFormat="1" applyFont="1" applyFill="1" applyBorder="1"/>
    <xf numFmtId="166" fontId="0" fillId="26" borderId="0" xfId="0" applyNumberFormat="1" applyFill="1" applyBorder="1"/>
    <xf numFmtId="171" fontId="2" fillId="26" borderId="0" xfId="53" applyNumberFormat="1" applyFill="1" applyBorder="1"/>
    <xf numFmtId="0" fontId="3" fillId="26" borderId="0" xfId="0" quotePrefix="1" applyFont="1" applyFill="1" applyBorder="1" applyAlignment="1">
      <alignment horizontal="right" vertical="center"/>
    </xf>
    <xf numFmtId="0" fontId="3" fillId="17" borderId="11" xfId="0" applyFont="1" applyFill="1" applyBorder="1" applyAlignment="1">
      <alignment horizontal="right"/>
    </xf>
    <xf numFmtId="166" fontId="11" fillId="19" borderId="18" xfId="29" applyNumberFormat="1" applyFont="1" applyFill="1" applyBorder="1" applyAlignment="1">
      <alignment horizontal="right"/>
    </xf>
    <xf numFmtId="166" fontId="11" fillId="19" borderId="19" xfId="29" applyNumberFormat="1" applyFont="1" applyFill="1" applyBorder="1" applyAlignment="1">
      <alignment horizontal="right"/>
    </xf>
    <xf numFmtId="166" fontId="11" fillId="19" borderId="20" xfId="29" applyNumberFormat="1" applyFont="1" applyFill="1" applyBorder="1" applyAlignment="1">
      <alignment horizontal="right"/>
    </xf>
    <xf numFmtId="166" fontId="11" fillId="19" borderId="0" xfId="29" applyNumberFormat="1" applyFont="1" applyFill="1" applyAlignment="1">
      <alignment horizontal="right"/>
    </xf>
    <xf numFmtId="2" fontId="5" fillId="26" borderId="0" xfId="0" applyNumberFormat="1" applyFont="1" applyFill="1"/>
    <xf numFmtId="168" fontId="5" fillId="26" borderId="0" xfId="0" applyNumberFormat="1" applyFont="1" applyFill="1"/>
    <xf numFmtId="0" fontId="5" fillId="26" borderId="0" xfId="0" applyFont="1" applyFill="1" applyAlignment="1">
      <alignment horizontal="left"/>
    </xf>
    <xf numFmtId="0" fontId="12" fillId="26" borderId="0" xfId="0" applyFont="1" applyFill="1" applyBorder="1" applyAlignment="1">
      <alignment horizontal="right"/>
    </xf>
    <xf numFmtId="170" fontId="2" fillId="26" borderId="0" xfId="29" applyNumberFormat="1" applyFill="1" applyBorder="1"/>
    <xf numFmtId="166" fontId="16" fillId="26" borderId="0" xfId="0" applyNumberFormat="1" applyFont="1" applyFill="1" applyBorder="1"/>
    <xf numFmtId="166" fontId="3" fillId="28" borderId="11" xfId="0" applyNumberFormat="1" applyFont="1" applyFill="1" applyBorder="1"/>
    <xf numFmtId="0" fontId="3" fillId="28" borderId="11" xfId="0" quotePrefix="1" applyFont="1" applyFill="1" applyBorder="1" applyAlignment="1">
      <alignment horizontal="right"/>
    </xf>
    <xf numFmtId="0" fontId="0" fillId="26" borderId="0" xfId="0" applyFill="1" applyBorder="1" applyAlignment="1">
      <alignment horizontal="center"/>
    </xf>
    <xf numFmtId="0" fontId="2" fillId="26" borderId="0" xfId="53" applyFont="1" applyFill="1" applyBorder="1" applyAlignment="1">
      <alignment vertical="justify"/>
    </xf>
    <xf numFmtId="0" fontId="3" fillId="28" borderId="11" xfId="0" applyFont="1" applyFill="1" applyBorder="1" applyAlignment="1">
      <alignment vertical="center"/>
    </xf>
    <xf numFmtId="10" fontId="5" fillId="26" borderId="0" xfId="56" applyNumberFormat="1" applyFont="1" applyFill="1" applyBorder="1" applyAlignment="1" applyProtection="1">
      <alignment horizontal="center"/>
    </xf>
    <xf numFmtId="0" fontId="11" fillId="26" borderId="12" xfId="0" applyFont="1" applyFill="1" applyBorder="1"/>
    <xf numFmtId="0" fontId="11" fillId="26" borderId="13" xfId="0" applyFont="1" applyFill="1" applyBorder="1"/>
    <xf numFmtId="166" fontId="16" fillId="26" borderId="0" xfId="29" applyNumberFormat="1" applyFont="1" applyFill="1" applyBorder="1" applyAlignment="1">
      <alignment horizontal="right"/>
    </xf>
    <xf numFmtId="166" fontId="11" fillId="26" borderId="0" xfId="29" applyNumberFormat="1" applyFont="1" applyFill="1"/>
    <xf numFmtId="166" fontId="11" fillId="26" borderId="0" xfId="0" applyNumberFormat="1" applyFont="1" applyFill="1"/>
    <xf numFmtId="166" fontId="5" fillId="27" borderId="22" xfId="29" applyNumberFormat="1" applyFont="1" applyFill="1" applyBorder="1" applyAlignment="1">
      <alignment horizontal="right" vertical="center"/>
    </xf>
    <xf numFmtId="10" fontId="2" fillId="27" borderId="21" xfId="29" applyNumberFormat="1" applyFill="1" applyBorder="1"/>
    <xf numFmtId="0" fontId="20" fillId="0" borderId="0" xfId="0" applyFont="1"/>
    <xf numFmtId="170" fontId="21" fillId="26" borderId="0" xfId="29" applyNumberFormat="1" applyFont="1" applyFill="1"/>
    <xf numFmtId="0" fontId="0" fillId="28" borderId="0" xfId="0" applyFill="1"/>
    <xf numFmtId="0" fontId="8" fillId="28" borderId="0" xfId="0" applyFont="1" applyFill="1" applyBorder="1"/>
    <xf numFmtId="166" fontId="5" fillId="26" borderId="14" xfId="29" applyNumberFormat="1" applyFont="1" applyFill="1" applyBorder="1" applyAlignment="1">
      <alignment horizontal="right" vertical="center"/>
    </xf>
    <xf numFmtId="166" fontId="5" fillId="26" borderId="21" xfId="29" applyNumberFormat="1" applyFont="1" applyFill="1" applyBorder="1" applyAlignment="1">
      <alignment horizontal="right" vertical="center"/>
    </xf>
    <xf numFmtId="166" fontId="5" fillId="26" borderId="22" xfId="29" applyNumberFormat="1" applyFont="1" applyFill="1" applyBorder="1" applyAlignment="1">
      <alignment horizontal="right" vertical="center"/>
    </xf>
    <xf numFmtId="166" fontId="16" fillId="26" borderId="12" xfId="29" applyNumberFormat="1" applyFont="1" applyFill="1" applyBorder="1"/>
    <xf numFmtId="0" fontId="5" fillId="26" borderId="0" xfId="0" applyFont="1" applyFill="1" applyBorder="1" applyAlignment="1">
      <alignment horizontal="center" vertical="center"/>
    </xf>
    <xf numFmtId="0" fontId="3" fillId="28" borderId="11" xfId="0" applyFont="1" applyFill="1" applyBorder="1" applyAlignment="1">
      <alignment horizontal="left"/>
    </xf>
    <xf numFmtId="0" fontId="11" fillId="28" borderId="11" xfId="0" applyFont="1" applyFill="1" applyBorder="1" applyAlignment="1">
      <alignment horizontal="right"/>
    </xf>
    <xf numFmtId="170" fontId="2" fillId="28" borderId="11" xfId="29" applyNumberFormat="1" applyFill="1" applyBorder="1"/>
    <xf numFmtId="166" fontId="5" fillId="28" borderId="11" xfId="0" applyNumberFormat="1" applyFont="1" applyFill="1" applyBorder="1"/>
    <xf numFmtId="166" fontId="16" fillId="28" borderId="11" xfId="0" applyNumberFormat="1" applyFont="1" applyFill="1" applyBorder="1"/>
    <xf numFmtId="168" fontId="5" fillId="28" borderId="11" xfId="0" applyNumberFormat="1" applyFont="1" applyFill="1" applyBorder="1"/>
    <xf numFmtId="0" fontId="11" fillId="26" borderId="0" xfId="0" applyFont="1" applyFill="1" applyAlignment="1">
      <alignment horizontal="left"/>
    </xf>
    <xf numFmtId="0" fontId="22" fillId="26" borderId="0" xfId="0" applyFont="1" applyFill="1" applyAlignment="1">
      <alignment vertical="center"/>
    </xf>
    <xf numFmtId="0" fontId="23" fillId="28" borderId="0" xfId="0" applyFont="1" applyFill="1"/>
    <xf numFmtId="0" fontId="0" fillId="0" borderId="0" xfId="0" applyFill="1"/>
    <xf numFmtId="169" fontId="5" fillId="26" borderId="0" xfId="29" applyNumberFormat="1" applyFont="1" applyFill="1" applyBorder="1"/>
    <xf numFmtId="10" fontId="2" fillId="26" borderId="23" xfId="56" applyNumberFormat="1" applyFill="1" applyBorder="1"/>
    <xf numFmtId="166" fontId="2" fillId="26" borderId="23" xfId="29" applyNumberFormat="1" applyFill="1" applyBorder="1"/>
    <xf numFmtId="166" fontId="16" fillId="26" borderId="23" xfId="0" applyNumberFormat="1" applyFont="1" applyFill="1" applyBorder="1"/>
    <xf numFmtId="166" fontId="0" fillId="26" borderId="23" xfId="0" applyNumberFormat="1" applyFill="1" applyBorder="1"/>
    <xf numFmtId="166" fontId="5" fillId="26" borderId="23" xfId="0" applyNumberFormat="1" applyFont="1" applyFill="1" applyBorder="1"/>
    <xf numFmtId="166" fontId="16" fillId="26" borderId="23" xfId="29" applyNumberFormat="1" applyFont="1" applyFill="1" applyBorder="1"/>
    <xf numFmtId="166" fontId="5" fillId="26" borderId="23" xfId="29" applyNumberFormat="1" applyFont="1" applyFill="1" applyBorder="1"/>
    <xf numFmtId="171" fontId="0" fillId="26" borderId="23" xfId="0" applyNumberFormat="1" applyFill="1" applyBorder="1"/>
    <xf numFmtId="166" fontId="0" fillId="26" borderId="23" xfId="29" applyNumberFormat="1" applyFont="1" applyFill="1" applyBorder="1"/>
    <xf numFmtId="170" fontId="0" fillId="26" borderId="23" xfId="29" applyNumberFormat="1" applyFont="1" applyFill="1" applyBorder="1"/>
    <xf numFmtId="166" fontId="16" fillId="0" borderId="23" xfId="29" applyNumberFormat="1" applyFont="1" applyFill="1" applyBorder="1"/>
    <xf numFmtId="0" fontId="0" fillId="26" borderId="23" xfId="0" applyFill="1" applyBorder="1"/>
    <xf numFmtId="170" fontId="2" fillId="26" borderId="23" xfId="29" applyNumberFormat="1" applyFill="1" applyBorder="1"/>
    <xf numFmtId="166" fontId="5" fillId="26" borderId="23" xfId="29" applyFon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6" fontId="5" fillId="0" borderId="0" xfId="29" applyFont="1" applyFill="1" applyBorder="1"/>
    <xf numFmtId="169" fontId="5" fillId="0" borderId="0" xfId="29" applyNumberFormat="1" applyFont="1" applyFill="1" applyBorder="1"/>
    <xf numFmtId="166" fontId="11" fillId="0" borderId="0" xfId="29" applyNumberFormat="1" applyFont="1" applyFill="1" applyBorder="1" applyAlignment="1">
      <alignment horizontal="right"/>
    </xf>
    <xf numFmtId="169" fontId="11" fillId="0" borderId="0" xfId="29" applyNumberFormat="1" applyFont="1" applyFill="1" applyBorder="1"/>
    <xf numFmtId="0" fontId="0" fillId="0" borderId="0" xfId="0" applyFill="1" applyBorder="1"/>
    <xf numFmtId="166" fontId="11" fillId="19" borderId="19" xfId="29" applyFont="1" applyFill="1" applyBorder="1" applyAlignment="1">
      <alignment horizontal="right"/>
    </xf>
    <xf numFmtId="166" fontId="11" fillId="19" borderId="0" xfId="29" applyFont="1" applyFill="1" applyAlignment="1">
      <alignment horizontal="right"/>
    </xf>
    <xf numFmtId="166" fontId="11" fillId="19" borderId="20" xfId="29" applyFont="1" applyFill="1" applyBorder="1" applyAlignment="1">
      <alignment horizontal="right"/>
    </xf>
    <xf numFmtId="166" fontId="3" fillId="28" borderId="24" xfId="0" applyNumberFormat="1" applyFont="1" applyFill="1" applyBorder="1"/>
    <xf numFmtId="0" fontId="5" fillId="0" borderId="0" xfId="0" applyFont="1" applyFill="1" applyBorder="1"/>
    <xf numFmtId="167" fontId="2" fillId="0" borderId="0" xfId="56" applyNumberFormat="1" applyFill="1" applyBorder="1"/>
    <xf numFmtId="168" fontId="0" fillId="0" borderId="0" xfId="0" applyNumberFormat="1" applyFill="1" applyBorder="1"/>
    <xf numFmtId="10" fontId="0" fillId="0" borderId="0" xfId="56" applyNumberFormat="1" applyFont="1" applyFill="1" applyBorder="1"/>
    <xf numFmtId="167" fontId="0" fillId="0" borderId="0" xfId="56" applyNumberFormat="1" applyFont="1" applyFill="1" applyBorder="1"/>
    <xf numFmtId="166" fontId="11" fillId="0" borderId="0" xfId="29" applyFont="1" applyFill="1" applyBorder="1" applyAlignment="1">
      <alignment horizontal="right"/>
    </xf>
    <xf numFmtId="169" fontId="11" fillId="0" borderId="0" xfId="29" applyNumberFormat="1" applyFont="1" applyFill="1" applyBorder="1" applyAlignment="1">
      <alignment horizontal="right"/>
    </xf>
    <xf numFmtId="169" fontId="11" fillId="0" borderId="0" xfId="0" applyNumberFormat="1" applyFont="1" applyFill="1" applyBorder="1"/>
    <xf numFmtId="10" fontId="2" fillId="0" borderId="0" xfId="56" applyNumberFormat="1" applyFill="1" applyBorder="1"/>
    <xf numFmtId="0" fontId="9" fillId="0" borderId="0" xfId="0" applyFont="1" applyFill="1"/>
    <xf numFmtId="10" fontId="2" fillId="26" borderId="0" xfId="53" applyNumberFormat="1" applyFont="1" applyFill="1" applyBorder="1"/>
    <xf numFmtId="0" fontId="13" fillId="26" borderId="12" xfId="0" applyFont="1" applyFill="1" applyBorder="1" applyAlignment="1" applyProtection="1">
      <alignment horizontal="center"/>
    </xf>
    <xf numFmtId="171" fontId="0" fillId="26" borderId="25" xfId="0" applyNumberFormat="1" applyFill="1" applyBorder="1"/>
    <xf numFmtId="171" fontId="0" fillId="26" borderId="0" xfId="0" applyNumberFormat="1" applyFill="1" applyBorder="1"/>
    <xf numFmtId="171" fontId="2" fillId="26" borderId="23" xfId="29" applyNumberFormat="1" applyFill="1" applyBorder="1"/>
    <xf numFmtId="0" fontId="3" fillId="26" borderId="26" xfId="0" quotePrefix="1" applyFont="1" applyFill="1" applyBorder="1" applyAlignment="1">
      <alignment horizontal="right" vertical="center"/>
    </xf>
    <xf numFmtId="165" fontId="16" fillId="26" borderId="0" xfId="0" applyNumberFormat="1" applyFont="1" applyFill="1"/>
    <xf numFmtId="166" fontId="5" fillId="26" borderId="0" xfId="29" applyFont="1" applyFill="1" applyBorder="1" applyAlignment="1">
      <alignment horizontal="center" vertical="center"/>
    </xf>
    <xf numFmtId="0" fontId="28" fillId="0" borderId="0" xfId="0" applyFont="1" applyFill="1"/>
    <xf numFmtId="0" fontId="29" fillId="0" borderId="0" xfId="0" applyFont="1"/>
    <xf numFmtId="0" fontId="22" fillId="0" borderId="0" xfId="0" applyFont="1" applyFill="1" applyAlignment="1">
      <alignment vertical="center"/>
    </xf>
    <xf numFmtId="0" fontId="8" fillId="0" borderId="0" xfId="0" applyFont="1"/>
    <xf numFmtId="0" fontId="20" fillId="0" borderId="12" xfId="0" applyFont="1" applyBorder="1" applyAlignment="1">
      <alignment horizontal="right"/>
    </xf>
    <xf numFmtId="0" fontId="20" fillId="0" borderId="12" xfId="0" applyFont="1" applyBorder="1"/>
    <xf numFmtId="0" fontId="20" fillId="0" borderId="0" xfId="0" applyFont="1" applyAlignment="1">
      <alignment horizontal="right"/>
    </xf>
    <xf numFmtId="175" fontId="16" fillId="26" borderId="0" xfId="0" applyNumberFormat="1" applyFont="1" applyFill="1"/>
    <xf numFmtId="168" fontId="5" fillId="27" borderId="14" xfId="0" applyNumberFormat="1" applyFont="1" applyFill="1" applyBorder="1" applyAlignment="1">
      <alignment horizontal="center" vertical="center" wrapText="1"/>
    </xf>
    <xf numFmtId="168" fontId="0" fillId="27" borderId="14" xfId="0" applyNumberFormat="1" applyFill="1" applyBorder="1" applyAlignment="1">
      <alignment horizontal="center" wrapText="1"/>
    </xf>
    <xf numFmtId="168" fontId="5" fillId="27" borderId="0" xfId="0" applyNumberFormat="1" applyFont="1" applyFill="1" applyBorder="1" applyAlignment="1">
      <alignment horizontal="center" vertical="center" wrapText="1"/>
    </xf>
    <xf numFmtId="168" fontId="0" fillId="27" borderId="0" xfId="0" applyNumberFormat="1" applyFill="1" applyBorder="1" applyAlignment="1">
      <alignment horizontal="center" wrapText="1"/>
    </xf>
    <xf numFmtId="169" fontId="5" fillId="27" borderId="0" xfId="29" applyNumberFormat="1" applyFont="1" applyFill="1" applyBorder="1" applyAlignment="1">
      <alignment horizontal="right" vertical="center"/>
    </xf>
    <xf numFmtId="10" fontId="0" fillId="26" borderId="0" xfId="0" applyNumberFormat="1" applyFill="1"/>
    <xf numFmtId="0" fontId="2" fillId="26" borderId="0" xfId="0" applyFont="1" applyFill="1"/>
    <xf numFmtId="0" fontId="3" fillId="28" borderId="11" xfId="0" applyFont="1" applyFill="1" applyBorder="1" applyAlignment="1">
      <alignment horizontal="right"/>
    </xf>
    <xf numFmtId="0" fontId="0" fillId="28" borderId="11" xfId="0" applyFill="1" applyBorder="1" applyAlignment="1">
      <alignment horizontal="right"/>
    </xf>
    <xf numFmtId="0" fontId="0" fillId="26" borderId="13" xfId="0" applyFill="1" applyBorder="1"/>
    <xf numFmtId="0" fontId="5" fillId="26" borderId="0" xfId="0" applyFont="1" applyFill="1" applyBorder="1" applyAlignment="1">
      <alignment horizontal="right"/>
    </xf>
    <xf numFmtId="166" fontId="3" fillId="26" borderId="0" xfId="0" applyNumberFormat="1" applyFont="1" applyFill="1" applyAlignment="1">
      <alignment horizontal="right"/>
    </xf>
    <xf numFmtId="166" fontId="16" fillId="26" borderId="0" xfId="0" applyNumberFormat="1" applyFont="1" applyFill="1" applyAlignment="1">
      <alignment horizontal="right"/>
    </xf>
    <xf numFmtId="0" fontId="16" fillId="26" borderId="0" xfId="0" applyFont="1" applyFill="1"/>
    <xf numFmtId="0" fontId="3" fillId="26" borderId="0" xfId="0" applyFont="1" applyFill="1"/>
    <xf numFmtId="0" fontId="24" fillId="26" borderId="0" xfId="0" applyFont="1" applyFill="1" applyBorder="1" applyAlignment="1">
      <alignment horizontal="center"/>
    </xf>
    <xf numFmtId="0" fontId="14" fillId="26" borderId="0" xfId="0" applyFont="1" applyFill="1" applyBorder="1" applyAlignment="1">
      <alignment horizontal="center"/>
    </xf>
    <xf numFmtId="166" fontId="16" fillId="26" borderId="0" xfId="0" applyNumberFormat="1" applyFont="1" applyFill="1" applyBorder="1" applyAlignment="1">
      <alignment horizontal="right"/>
    </xf>
    <xf numFmtId="166" fontId="16" fillId="0" borderId="0" xfId="0" applyNumberFormat="1" applyFont="1"/>
    <xf numFmtId="0" fontId="16" fillId="26" borderId="0" xfId="0" applyFont="1" applyFill="1" applyBorder="1"/>
    <xf numFmtId="166" fontId="16" fillId="26" borderId="0" xfId="0" applyNumberFormat="1" applyFont="1" applyFill="1" applyAlignment="1">
      <alignment horizontal="left"/>
    </xf>
    <xf numFmtId="166" fontId="0" fillId="0" borderId="0" xfId="0" applyNumberFormat="1"/>
    <xf numFmtId="0" fontId="16" fillId="0" borderId="0" xfId="0" applyFont="1"/>
    <xf numFmtId="0" fontId="3" fillId="26" borderId="0" xfId="0" applyFont="1" applyFill="1" applyBorder="1" applyAlignment="1">
      <alignment horizontal="right" wrapText="1"/>
    </xf>
    <xf numFmtId="0" fontId="3" fillId="26" borderId="11" xfId="0" quotePrefix="1" applyFont="1" applyFill="1" applyBorder="1" applyAlignment="1">
      <alignment horizontal="right" vertical="center"/>
    </xf>
    <xf numFmtId="0" fontId="3" fillId="26" borderId="11" xfId="0" applyFont="1" applyFill="1" applyBorder="1" applyAlignment="1">
      <alignment horizontal="right" wrapText="1"/>
    </xf>
    <xf numFmtId="166" fontId="3" fillId="26" borderId="14" xfId="29" applyNumberFormat="1" applyFont="1" applyFill="1" applyBorder="1" applyAlignment="1">
      <alignment horizontal="left" vertical="center"/>
    </xf>
    <xf numFmtId="166" fontId="5" fillId="26" borderId="0" xfId="29" applyNumberFormat="1" applyFont="1" applyFill="1" applyBorder="1" applyAlignment="1">
      <alignment horizontal="left" vertical="center"/>
    </xf>
    <xf numFmtId="166" fontId="3" fillId="26" borderId="0" xfId="29" applyNumberFormat="1" applyFont="1" applyFill="1" applyBorder="1" applyAlignment="1">
      <alignment horizontal="left" vertical="center"/>
    </xf>
    <xf numFmtId="166" fontId="3" fillId="26" borderId="0" xfId="29" applyFont="1" applyFill="1" applyBorder="1" applyAlignment="1">
      <alignment horizontal="left" vertical="center"/>
    </xf>
    <xf numFmtId="166" fontId="5" fillId="26" borderId="0" xfId="29" applyFont="1" applyFill="1" applyBorder="1" applyAlignment="1">
      <alignment horizontal="left" vertical="center"/>
    </xf>
    <xf numFmtId="166" fontId="0" fillId="26" borderId="0" xfId="0" applyNumberFormat="1" applyFill="1" applyBorder="1" applyAlignment="1">
      <alignment horizontal="left"/>
    </xf>
    <xf numFmtId="0" fontId="0" fillId="26" borderId="0" xfId="0" applyFill="1" applyAlignment="1">
      <alignment horizontal="left"/>
    </xf>
    <xf numFmtId="0" fontId="3" fillId="26" borderId="0" xfId="0" applyFont="1" applyFill="1" applyBorder="1" applyAlignment="1">
      <alignment horizontal="left"/>
    </xf>
    <xf numFmtId="0" fontId="0" fillId="0" borderId="0" xfId="0" applyAlignment="1">
      <alignment horizontal="left"/>
    </xf>
    <xf numFmtId="0" fontId="3" fillId="17" borderId="11" xfId="0" applyFont="1" applyFill="1" applyBorder="1" applyAlignment="1">
      <alignment horizontal="left"/>
    </xf>
    <xf numFmtId="0" fontId="0" fillId="28" borderId="11" xfId="0" applyFill="1" applyBorder="1" applyAlignment="1">
      <alignment horizontal="left"/>
    </xf>
    <xf numFmtId="0" fontId="0" fillId="26" borderId="0" xfId="0" applyFill="1" applyBorder="1" applyAlignment="1">
      <alignment horizontal="left"/>
    </xf>
    <xf numFmtId="166" fontId="11" fillId="26" borderId="0" xfId="0" quotePrefix="1" applyNumberFormat="1" applyFont="1" applyFill="1" applyBorder="1" applyAlignment="1">
      <alignment horizontal="left"/>
    </xf>
    <xf numFmtId="166" fontId="5" fillId="17" borderId="0" xfId="29" applyFont="1" applyFill="1" applyBorder="1"/>
    <xf numFmtId="0" fontId="6" fillId="26" borderId="0" xfId="0" applyFont="1" applyFill="1"/>
    <xf numFmtId="0" fontId="6" fillId="26" borderId="0" xfId="0" applyFont="1" applyFill="1" applyBorder="1"/>
    <xf numFmtId="10" fontId="0" fillId="0" borderId="23" xfId="56" applyNumberFormat="1" applyFont="1" applyFill="1" applyBorder="1"/>
    <xf numFmtId="1" fontId="0" fillId="0" borderId="0" xfId="0" applyNumberFormat="1" applyAlignment="1">
      <alignment horizontal="center"/>
    </xf>
    <xf numFmtId="169" fontId="3" fillId="28" borderId="11" xfId="0" applyNumberFormat="1" applyFont="1" applyFill="1" applyBorder="1"/>
    <xf numFmtId="168" fontId="5" fillId="27" borderId="14" xfId="0" applyNumberFormat="1" applyFont="1" applyFill="1" applyBorder="1" applyAlignment="1">
      <alignment horizontal="center" wrapText="1"/>
    </xf>
    <xf numFmtId="168" fontId="5" fillId="27" borderId="0" xfId="0" applyNumberFormat="1" applyFont="1" applyFill="1" applyBorder="1" applyAlignment="1">
      <alignment horizontal="center" wrapText="1"/>
    </xf>
    <xf numFmtId="4" fontId="0" fillId="0" borderId="0" xfId="0" applyNumberFormat="1"/>
    <xf numFmtId="4" fontId="0" fillId="26" borderId="0" xfId="0" applyNumberFormat="1" applyFill="1"/>
    <xf numFmtId="0" fontId="15" fillId="17" borderId="0" xfId="0" applyFont="1" applyFill="1"/>
    <xf numFmtId="1" fontId="0" fillId="26" borderId="0" xfId="0" applyNumberFormat="1" applyFill="1" applyBorder="1"/>
    <xf numFmtId="0" fontId="48" fillId="26" borderId="0" xfId="0" applyFont="1" applyFill="1" applyBorder="1" applyAlignment="1">
      <alignment horizontal="center" vertical="center"/>
    </xf>
    <xf numFmtId="2" fontId="0" fillId="26" borderId="0" xfId="0" applyNumberFormat="1" applyFill="1" applyAlignment="1">
      <alignment horizontal="center"/>
    </xf>
    <xf numFmtId="176" fontId="12" fillId="26" borderId="0" xfId="30" applyNumberFormat="1" applyFont="1" applyFill="1" applyBorder="1" applyAlignment="1">
      <alignment horizontal="center" vertical="center"/>
    </xf>
    <xf numFmtId="177" fontId="0" fillId="26" borderId="0" xfId="0" applyNumberFormat="1" applyFill="1"/>
    <xf numFmtId="172" fontId="16" fillId="26" borderId="0" xfId="0" applyNumberFormat="1" applyFont="1" applyFill="1"/>
    <xf numFmtId="166" fontId="50" fillId="27" borderId="0" xfId="29" applyFont="1" applyFill="1" applyBorder="1" applyAlignment="1">
      <alignment horizontal="center" vertical="center"/>
    </xf>
    <xf numFmtId="2" fontId="16" fillId="26" borderId="0" xfId="0" applyNumberFormat="1" applyFont="1" applyFill="1"/>
    <xf numFmtId="0" fontId="5" fillId="26" borderId="0" xfId="0" applyFont="1" applyFill="1" applyAlignment="1">
      <alignment horizontal="right"/>
    </xf>
    <xf numFmtId="0" fontId="3" fillId="0" borderId="0" xfId="0" applyFont="1" applyFill="1" applyAlignment="1">
      <alignment horizontal="center" wrapText="1"/>
    </xf>
    <xf numFmtId="166" fontId="3" fillId="29" borderId="14" xfId="29" applyNumberFormat="1" applyFont="1" applyFill="1" applyBorder="1" applyAlignment="1">
      <alignment horizontal="left" vertical="center"/>
    </xf>
    <xf numFmtId="166" fontId="5" fillId="29" borderId="14" xfId="29" applyNumberFormat="1" applyFont="1" applyFill="1" applyBorder="1" applyAlignment="1">
      <alignment horizontal="left" vertical="center"/>
    </xf>
    <xf numFmtId="166" fontId="5" fillId="29" borderId="14" xfId="29" applyFont="1" applyFill="1" applyBorder="1" applyAlignment="1">
      <alignment horizontal="center" vertical="center"/>
    </xf>
    <xf numFmtId="166" fontId="5" fillId="29" borderId="0" xfId="29" applyNumberFormat="1" applyFont="1" applyFill="1" applyBorder="1" applyAlignment="1">
      <alignment horizontal="left" vertical="center"/>
    </xf>
    <xf numFmtId="9" fontId="5" fillId="29" borderId="0" xfId="56" applyFont="1" applyFill="1" applyBorder="1" applyAlignment="1">
      <alignment horizontal="center" vertical="center"/>
    </xf>
    <xf numFmtId="166" fontId="5" fillId="29" borderId="0" xfId="29" applyFont="1" applyFill="1" applyBorder="1" applyAlignment="1">
      <alignment horizontal="center" vertical="center"/>
    </xf>
    <xf numFmtId="166" fontId="3" fillId="29" borderId="0" xfId="29" applyNumberFormat="1" applyFont="1" applyFill="1" applyBorder="1" applyAlignment="1">
      <alignment horizontal="left" vertical="center"/>
    </xf>
    <xf numFmtId="166" fontId="5" fillId="29" borderId="0" xfId="29" applyNumberFormat="1" applyFont="1" applyFill="1" applyBorder="1" applyAlignment="1">
      <alignment horizontal="right" vertical="center"/>
    </xf>
    <xf numFmtId="166" fontId="3" fillId="29" borderId="0" xfId="29" applyFont="1" applyFill="1" applyBorder="1" applyAlignment="1">
      <alignment horizontal="left" vertical="center"/>
    </xf>
    <xf numFmtId="166" fontId="5" fillId="29" borderId="0" xfId="29" applyFont="1" applyFill="1" applyBorder="1" applyAlignment="1">
      <alignment horizontal="left" vertical="center"/>
    </xf>
    <xf numFmtId="9" fontId="5" fillId="29" borderId="0" xfId="29" applyNumberFormat="1" applyFont="1" applyFill="1" applyBorder="1" applyAlignment="1">
      <alignment horizontal="center" vertical="center"/>
    </xf>
    <xf numFmtId="0" fontId="0" fillId="29" borderId="0" xfId="0" applyFill="1" applyBorder="1" applyAlignment="1">
      <alignment wrapText="1"/>
    </xf>
    <xf numFmtId="0" fontId="0" fillId="29" borderId="0" xfId="0" applyFill="1" applyAlignment="1">
      <alignment wrapText="1"/>
    </xf>
    <xf numFmtId="4" fontId="0" fillId="29" borderId="0" xfId="0" applyNumberFormat="1" applyFill="1" applyBorder="1" applyAlignment="1">
      <alignment wrapText="1"/>
    </xf>
    <xf numFmtId="166" fontId="0" fillId="29" borderId="0" xfId="0" applyNumberFormat="1" applyFill="1" applyBorder="1" applyAlignment="1">
      <alignment horizontal="left"/>
    </xf>
    <xf numFmtId="166" fontId="0" fillId="29" borderId="0" xfId="0" applyNumberFormat="1" applyFill="1" applyBorder="1" applyAlignment="1">
      <alignment wrapText="1"/>
    </xf>
    <xf numFmtId="10" fontId="2" fillId="30" borderId="21" xfId="56" applyNumberFormat="1" applyFill="1" applyBorder="1"/>
    <xf numFmtId="10" fontId="2" fillId="30" borderId="14" xfId="56" applyNumberFormat="1" applyFill="1" applyBorder="1"/>
    <xf numFmtId="10" fontId="2" fillId="30" borderId="14" xfId="29" applyNumberFormat="1" applyFill="1" applyBorder="1"/>
    <xf numFmtId="0" fontId="0" fillId="29" borderId="0" xfId="0" applyFill="1"/>
    <xf numFmtId="178" fontId="0" fillId="29" borderId="0" xfId="0" applyNumberFormat="1" applyFill="1"/>
    <xf numFmtId="4" fontId="0" fillId="29" borderId="0" xfId="0" applyNumberFormat="1" applyFill="1"/>
    <xf numFmtId="166" fontId="5" fillId="30" borderId="14" xfId="29" applyNumberFormat="1" applyFont="1" applyFill="1" applyBorder="1" applyAlignment="1">
      <alignment horizontal="right" vertical="center"/>
    </xf>
    <xf numFmtId="166" fontId="5" fillId="30" borderId="0" xfId="29" applyNumberFormat="1" applyFont="1" applyFill="1" applyBorder="1" applyAlignment="1">
      <alignment horizontal="right" vertical="center"/>
    </xf>
    <xf numFmtId="166" fontId="16" fillId="32" borderId="23" xfId="0" applyNumberFormat="1" applyFont="1" applyFill="1" applyBorder="1"/>
    <xf numFmtId="166" fontId="51" fillId="30" borderId="14" xfId="29" applyNumberFormat="1" applyFont="1" applyFill="1" applyBorder="1" applyAlignment="1">
      <alignment horizontal="right" vertical="center"/>
    </xf>
    <xf numFmtId="166" fontId="51" fillId="30" borderId="0" xfId="29" applyNumberFormat="1" applyFont="1" applyFill="1" applyBorder="1" applyAlignment="1">
      <alignment horizontal="right" vertical="center"/>
    </xf>
    <xf numFmtId="4" fontId="51" fillId="29" borderId="0" xfId="0" applyNumberFormat="1" applyFont="1" applyFill="1" applyBorder="1" applyAlignment="1">
      <alignment wrapText="1"/>
    </xf>
    <xf numFmtId="0" fontId="52" fillId="33" borderId="0" xfId="0" applyFont="1" applyFill="1"/>
    <xf numFmtId="0" fontId="53" fillId="33" borderId="0" xfId="0" applyFont="1" applyFill="1"/>
    <xf numFmtId="0" fontId="54" fillId="0" borderId="0" xfId="0" applyFont="1"/>
    <xf numFmtId="0" fontId="55" fillId="33" borderId="30" xfId="0" applyFont="1" applyFill="1" applyBorder="1"/>
    <xf numFmtId="0" fontId="55" fillId="33" borderId="11" xfId="0" applyFont="1" applyFill="1" applyBorder="1" applyAlignment="1">
      <alignment horizontal="center"/>
    </xf>
    <xf numFmtId="0" fontId="55" fillId="33" borderId="31" xfId="0" applyFont="1" applyFill="1" applyBorder="1" applyAlignment="1">
      <alignment horizontal="right"/>
    </xf>
    <xf numFmtId="0" fontId="54" fillId="0" borderId="0" xfId="0" applyFont="1" applyAlignment="1">
      <alignment vertical="center" wrapText="1"/>
    </xf>
    <xf numFmtId="0" fontId="54" fillId="0" borderId="32" xfId="0" applyFont="1" applyBorder="1" applyAlignment="1">
      <alignment vertical="center" wrapText="1"/>
    </xf>
    <xf numFmtId="0" fontId="54" fillId="0" borderId="0" xfId="0" applyFont="1" applyBorder="1" applyAlignment="1">
      <alignment horizontal="center" vertical="center" wrapText="1"/>
    </xf>
    <xf numFmtId="168" fontId="54" fillId="0" borderId="7" xfId="0" applyNumberFormat="1" applyFont="1" applyBorder="1" applyAlignment="1">
      <alignment horizontal="center" vertical="center" wrapText="1"/>
    </xf>
    <xf numFmtId="0" fontId="54" fillId="0" borderId="33" xfId="0" applyFont="1" applyBorder="1" applyAlignment="1">
      <alignment vertical="center" wrapText="1"/>
    </xf>
    <xf numFmtId="0" fontId="54" fillId="0" borderId="34" xfId="0" applyFont="1" applyBorder="1" applyAlignment="1">
      <alignment horizontal="center" vertical="center" wrapText="1"/>
    </xf>
    <xf numFmtId="168" fontId="54" fillId="0" borderId="35" xfId="0" applyNumberFormat="1" applyFont="1" applyBorder="1" applyAlignment="1">
      <alignment horizontal="center" vertical="center" wrapText="1"/>
    </xf>
    <xf numFmtId="0" fontId="54" fillId="0" borderId="36" xfId="0" applyFont="1" applyBorder="1" applyAlignment="1">
      <alignment vertical="center" wrapText="1"/>
    </xf>
    <xf numFmtId="0" fontId="54" fillId="0" borderId="37" xfId="0" applyFont="1" applyBorder="1" applyAlignment="1">
      <alignment vertical="center" wrapText="1"/>
    </xf>
    <xf numFmtId="0" fontId="54" fillId="0" borderId="12" xfId="0" applyFont="1" applyBorder="1" applyAlignment="1">
      <alignment horizontal="center" vertical="center" wrapText="1"/>
    </xf>
    <xf numFmtId="168" fontId="54" fillId="0" borderId="38" xfId="0" applyNumberFormat="1" applyFont="1" applyBorder="1" applyAlignment="1">
      <alignment horizontal="center" vertical="center" wrapText="1"/>
    </xf>
    <xf numFmtId="0" fontId="56" fillId="0" borderId="0" xfId="0" applyFont="1"/>
    <xf numFmtId="0" fontId="55" fillId="33" borderId="31" xfId="0" applyFont="1" applyFill="1" applyBorder="1" applyAlignment="1">
      <alignment horizontal="center"/>
    </xf>
    <xf numFmtId="0" fontId="55" fillId="33" borderId="39" xfId="0" applyFont="1" applyFill="1" applyBorder="1"/>
    <xf numFmtId="0" fontId="55" fillId="33" borderId="7" xfId="0" applyFont="1" applyFill="1" applyBorder="1" applyAlignment="1">
      <alignment horizontal="center"/>
    </xf>
    <xf numFmtId="0" fontId="54" fillId="0" borderId="40" xfId="0" applyFont="1" applyBorder="1" applyAlignment="1">
      <alignment horizontal="left" vertical="center" wrapText="1"/>
    </xf>
    <xf numFmtId="3" fontId="54" fillId="34" borderId="41" xfId="0" applyNumberFormat="1" applyFont="1" applyFill="1" applyBorder="1" applyAlignment="1">
      <alignment horizontal="center"/>
    </xf>
    <xf numFmtId="3" fontId="54" fillId="0" borderId="42" xfId="0" applyNumberFormat="1" applyFont="1" applyBorder="1" applyAlignment="1">
      <alignment horizontal="center"/>
    </xf>
    <xf numFmtId="0" fontId="54" fillId="0" borderId="43" xfId="0" applyFont="1" applyBorder="1" applyAlignment="1">
      <alignment horizontal="left" vertical="center" wrapText="1"/>
    </xf>
    <xf numFmtId="0" fontId="54" fillId="0" borderId="37" xfId="0" applyFont="1" applyFill="1" applyBorder="1" applyAlignment="1">
      <alignment horizontal="left" vertical="center" wrapText="1"/>
    </xf>
    <xf numFmtId="3" fontId="54" fillId="34" borderId="12" xfId="0" applyNumberFormat="1" applyFont="1" applyFill="1" applyBorder="1" applyAlignment="1">
      <alignment horizontal="center"/>
    </xf>
    <xf numFmtId="3" fontId="54" fillId="0" borderId="38" xfId="0" applyNumberFormat="1" applyFont="1" applyBorder="1" applyAlignment="1">
      <alignment horizontal="center"/>
    </xf>
    <xf numFmtId="179" fontId="56" fillId="0" borderId="0" xfId="0" applyNumberFormat="1" applyFont="1"/>
    <xf numFmtId="0" fontId="55" fillId="33" borderId="30" xfId="0" applyFont="1" applyFill="1" applyBorder="1" applyAlignment="1">
      <alignment horizontal="left" vertical="center" wrapText="1"/>
    </xf>
    <xf numFmtId="0" fontId="55" fillId="33" borderId="31" xfId="0" applyFont="1" applyFill="1" applyBorder="1" applyAlignment="1">
      <alignment horizontal="center" wrapText="1"/>
    </xf>
    <xf numFmtId="0" fontId="54" fillId="0" borderId="0" xfId="0" applyFont="1" applyAlignment="1">
      <alignment wrapText="1"/>
    </xf>
    <xf numFmtId="168" fontId="54" fillId="0" borderId="42" xfId="0" applyNumberFormat="1" applyFont="1" applyBorder="1" applyAlignment="1">
      <alignment horizontal="center"/>
    </xf>
    <xf numFmtId="168" fontId="54" fillId="0" borderId="38" xfId="0" applyNumberFormat="1" applyFont="1" applyBorder="1" applyAlignment="1">
      <alignment horizontal="center"/>
    </xf>
    <xf numFmtId="0" fontId="57" fillId="33" borderId="0" xfId="0" applyFont="1" applyFill="1"/>
    <xf numFmtId="0" fontId="58" fillId="33" borderId="0" xfId="0" applyFont="1" applyFill="1"/>
    <xf numFmtId="0" fontId="59" fillId="0" borderId="0" xfId="0" applyFont="1"/>
    <xf numFmtId="0" fontId="60" fillId="26" borderId="30" xfId="0" applyFont="1" applyFill="1" applyBorder="1" applyAlignment="1">
      <alignment horizontal="left" wrapText="1"/>
    </xf>
    <xf numFmtId="0" fontId="54" fillId="0" borderId="11" xfId="0" applyFont="1" applyBorder="1"/>
    <xf numFmtId="0" fontId="60" fillId="26" borderId="11" xfId="0" applyFont="1" applyFill="1" applyBorder="1" applyAlignment="1">
      <alignment horizontal="center" wrapText="1"/>
    </xf>
    <xf numFmtId="0" fontId="60" fillId="26" borderId="31" xfId="0" applyFont="1" applyFill="1" applyBorder="1" applyAlignment="1">
      <alignment horizontal="center" wrapText="1"/>
    </xf>
    <xf numFmtId="170" fontId="61" fillId="27" borderId="0" xfId="29" applyNumberFormat="1" applyFont="1" applyFill="1" applyBorder="1" applyAlignment="1">
      <alignment horizontal="right" vertical="center"/>
    </xf>
    <xf numFmtId="170" fontId="61" fillId="27" borderId="0" xfId="0" applyNumberFormat="1" applyFont="1" applyFill="1" applyBorder="1" applyAlignment="1">
      <alignment horizontal="right" vertical="center" wrapText="1"/>
    </xf>
    <xf numFmtId="170" fontId="61" fillId="27" borderId="7" xfId="0" applyNumberFormat="1" applyFont="1" applyFill="1" applyBorder="1" applyAlignment="1">
      <alignment horizontal="right" vertical="center" wrapText="1"/>
    </xf>
    <xf numFmtId="170" fontId="61" fillId="27" borderId="38" xfId="0" applyNumberFormat="1" applyFont="1" applyFill="1" applyBorder="1" applyAlignment="1">
      <alignment horizontal="right" vertical="center" wrapText="1"/>
    </xf>
    <xf numFmtId="0" fontId="61" fillId="0" borderId="0" xfId="0" applyFont="1" applyFill="1" applyBorder="1" applyAlignment="1">
      <alignment horizontal="left"/>
    </xf>
    <xf numFmtId="0" fontId="55" fillId="35" borderId="0" xfId="0" applyFont="1" applyFill="1"/>
    <xf numFmtId="0" fontId="55" fillId="35" borderId="0" xfId="0" applyFont="1" applyFill="1" applyAlignment="1">
      <alignment horizontal="right"/>
    </xf>
    <xf numFmtId="0" fontId="54" fillId="0" borderId="30" xfId="0" applyFont="1" applyBorder="1"/>
    <xf numFmtId="3" fontId="54" fillId="0" borderId="31" xfId="0" applyNumberFormat="1" applyFont="1" applyBorder="1"/>
    <xf numFmtId="3" fontId="54" fillId="0" borderId="0" xfId="0" applyNumberFormat="1" applyFont="1"/>
    <xf numFmtId="0" fontId="55" fillId="35" borderId="39" xfId="0" applyFont="1" applyFill="1" applyBorder="1"/>
    <xf numFmtId="0" fontId="55" fillId="35" borderId="13" xfId="0" applyFont="1" applyFill="1" applyBorder="1" applyAlignment="1">
      <alignment horizontal="right"/>
    </xf>
    <xf numFmtId="3" fontId="55" fillId="35" borderId="28" xfId="0" applyNumberFormat="1" applyFont="1" applyFill="1" applyBorder="1" applyAlignment="1">
      <alignment horizontal="right"/>
    </xf>
    <xf numFmtId="0" fontId="54" fillId="0" borderId="40" xfId="0" applyFont="1" applyBorder="1"/>
    <xf numFmtId="9" fontId="54" fillId="0" borderId="45" xfId="56" applyFont="1" applyBorder="1"/>
    <xf numFmtId="3" fontId="54" fillId="0" borderId="46" xfId="0" applyNumberFormat="1" applyFont="1" applyBorder="1"/>
    <xf numFmtId="0" fontId="54" fillId="0" borderId="33" xfId="0" applyFont="1" applyBorder="1"/>
    <xf numFmtId="9" fontId="54" fillId="0" borderId="34" xfId="56" applyFont="1" applyBorder="1"/>
    <xf numFmtId="0" fontId="54" fillId="0" borderId="34" xfId="0" applyFont="1" applyBorder="1"/>
    <xf numFmtId="0" fontId="63" fillId="0" borderId="30" xfId="0" applyFont="1" applyBorder="1"/>
    <xf numFmtId="3" fontId="63" fillId="0" borderId="31" xfId="0" applyNumberFormat="1" applyFont="1" applyBorder="1"/>
    <xf numFmtId="0" fontId="64" fillId="0" borderId="0" xfId="0" applyFont="1"/>
    <xf numFmtId="164" fontId="64" fillId="0" borderId="0" xfId="0" applyNumberFormat="1" applyFont="1"/>
    <xf numFmtId="0" fontId="54" fillId="0" borderId="0" xfId="0" applyFont="1" applyAlignment="1">
      <alignment vertical="top" wrapText="1"/>
    </xf>
    <xf numFmtId="0" fontId="55" fillId="35" borderId="39" xfId="0" applyFont="1" applyFill="1" applyBorder="1" applyAlignment="1">
      <alignment vertical="top" wrapText="1"/>
    </xf>
    <xf numFmtId="0" fontId="55" fillId="35" borderId="13" xfId="0" applyFont="1" applyFill="1" applyBorder="1" applyAlignment="1">
      <alignment horizontal="right" vertical="top" wrapText="1"/>
    </xf>
    <xf numFmtId="3" fontId="55" fillId="35" borderId="13" xfId="0" applyNumberFormat="1" applyFont="1" applyFill="1" applyBorder="1" applyAlignment="1">
      <alignment horizontal="right" vertical="top" wrapText="1"/>
    </xf>
    <xf numFmtId="3" fontId="55" fillId="35" borderId="28" xfId="0" applyNumberFormat="1" applyFont="1" applyFill="1" applyBorder="1" applyAlignment="1">
      <alignment horizontal="right" vertical="top" wrapText="1"/>
    </xf>
    <xf numFmtId="0" fontId="54" fillId="0" borderId="48" xfId="0" applyFont="1" applyBorder="1"/>
    <xf numFmtId="3" fontId="54" fillId="0" borderId="49" xfId="0" applyNumberFormat="1" applyFont="1" applyBorder="1" applyAlignment="1">
      <alignment horizontal="right"/>
    </xf>
    <xf numFmtId="3" fontId="54" fillId="0" borderId="50" xfId="0" applyNumberFormat="1" applyFont="1" applyBorder="1" applyAlignment="1">
      <alignment horizontal="right"/>
    </xf>
    <xf numFmtId="0" fontId="54" fillId="0" borderId="51" xfId="0" applyFont="1" applyBorder="1"/>
    <xf numFmtId="3" fontId="54" fillId="0" borderId="52" xfId="0" applyNumberFormat="1" applyFont="1" applyBorder="1" applyAlignment="1">
      <alignment horizontal="right"/>
    </xf>
    <xf numFmtId="3" fontId="54" fillId="0" borderId="35" xfId="0" applyNumberFormat="1" applyFont="1" applyBorder="1" applyAlignment="1">
      <alignment horizontal="right"/>
    </xf>
    <xf numFmtId="0" fontId="54" fillId="0" borderId="44" xfId="0" applyFont="1" applyBorder="1"/>
    <xf numFmtId="3" fontId="54" fillId="0" borderId="53" xfId="0" applyNumberFormat="1" applyFont="1" applyBorder="1" applyAlignment="1">
      <alignment horizontal="right"/>
    </xf>
    <xf numFmtId="3" fontId="54" fillId="0" borderId="38" xfId="0" applyNumberFormat="1" applyFont="1" applyBorder="1" applyAlignment="1">
      <alignment horizontal="right"/>
    </xf>
    <xf numFmtId="0" fontId="3" fillId="31" borderId="11" xfId="0" applyFont="1" applyFill="1" applyBorder="1" applyAlignment="1">
      <alignment horizontal="left"/>
    </xf>
    <xf numFmtId="0" fontId="0" fillId="34" borderId="0" xfId="0" applyFill="1"/>
    <xf numFmtId="0" fontId="56" fillId="0" borderId="0" xfId="0" applyFont="1" applyFill="1" applyBorder="1" applyAlignment="1">
      <alignment horizontal="left"/>
    </xf>
    <xf numFmtId="170" fontId="56" fillId="0" borderId="0" xfId="29" applyNumberFormat="1" applyFont="1" applyFill="1" applyBorder="1" applyAlignment="1">
      <alignment horizontal="right" vertical="center"/>
    </xf>
    <xf numFmtId="170" fontId="56" fillId="0" borderId="0" xfId="0" applyNumberFormat="1" applyFont="1" applyFill="1" applyBorder="1" applyAlignment="1">
      <alignment horizontal="right" vertical="center" wrapText="1"/>
    </xf>
    <xf numFmtId="0" fontId="3" fillId="36" borderId="0" xfId="0" applyFont="1" applyFill="1" applyAlignment="1">
      <alignment horizontal="left"/>
    </xf>
    <xf numFmtId="0" fontId="0" fillId="36" borderId="0" xfId="0" applyFill="1" applyBorder="1" applyAlignment="1">
      <alignment wrapText="1"/>
    </xf>
    <xf numFmtId="0" fontId="0" fillId="36" borderId="0" xfId="0" applyFill="1" applyAlignment="1">
      <alignment wrapText="1"/>
    </xf>
    <xf numFmtId="0" fontId="0" fillId="36" borderId="0" xfId="0" applyFill="1"/>
    <xf numFmtId="0" fontId="3" fillId="36" borderId="0" xfId="0" applyFont="1" applyFill="1" applyAlignment="1">
      <alignment wrapText="1"/>
    </xf>
    <xf numFmtId="4" fontId="3" fillId="36" borderId="0" xfId="0" applyNumberFormat="1" applyFont="1" applyFill="1" applyAlignment="1">
      <alignment wrapText="1"/>
    </xf>
    <xf numFmtId="4" fontId="0" fillId="36" borderId="0" xfId="0" applyNumberFormat="1" applyFill="1"/>
    <xf numFmtId="4" fontId="0" fillId="36" borderId="0" xfId="0" applyNumberFormat="1" applyFill="1" applyAlignment="1"/>
    <xf numFmtId="0" fontId="3" fillId="36" borderId="0" xfId="0" applyFont="1" applyFill="1"/>
    <xf numFmtId="4" fontId="3" fillId="36" borderId="0" xfId="0" applyNumberFormat="1" applyFont="1" applyFill="1"/>
    <xf numFmtId="4" fontId="3" fillId="36" borderId="0" xfId="0" applyNumberFormat="1" applyFont="1" applyFill="1" applyAlignment="1"/>
    <xf numFmtId="17" fontId="66" fillId="0" borderId="0" xfId="0" applyNumberFormat="1" applyFont="1"/>
    <xf numFmtId="166" fontId="5" fillId="30" borderId="21" xfId="29" applyNumberFormat="1" applyFont="1" applyFill="1" applyBorder="1" applyAlignment="1">
      <alignment horizontal="right" vertical="center"/>
    </xf>
    <xf numFmtId="166" fontId="5" fillId="30" borderId="22" xfId="29" applyNumberFormat="1" applyFont="1" applyFill="1" applyBorder="1" applyAlignment="1">
      <alignment horizontal="right" vertical="center"/>
    </xf>
    <xf numFmtId="0" fontId="2" fillId="0" borderId="0" xfId="60"/>
    <xf numFmtId="10" fontId="0" fillId="37" borderId="17" xfId="56" applyNumberFormat="1" applyFont="1" applyFill="1" applyBorder="1"/>
    <xf numFmtId="166" fontId="5" fillId="37" borderId="0" xfId="29" applyNumberFormat="1" applyFont="1" applyFill="1" applyBorder="1" applyAlignment="1">
      <alignment horizontal="right" vertical="center"/>
    </xf>
    <xf numFmtId="166" fontId="2" fillId="37" borderId="14" xfId="29" applyFont="1" applyFill="1" applyBorder="1" applyAlignment="1">
      <alignment horizontal="center" vertical="center"/>
    </xf>
    <xf numFmtId="166" fontId="2" fillId="37" borderId="0" xfId="29" applyFont="1" applyFill="1" applyBorder="1" applyAlignment="1">
      <alignment horizontal="center" vertical="center"/>
    </xf>
    <xf numFmtId="2" fontId="0" fillId="37" borderId="14" xfId="0" applyNumberFormat="1" applyFill="1" applyBorder="1" applyAlignment="1">
      <alignment horizontal="center" wrapText="1"/>
    </xf>
    <xf numFmtId="166" fontId="2" fillId="37" borderId="14" xfId="29" applyNumberFormat="1" applyFont="1" applyFill="1" applyBorder="1" applyAlignment="1">
      <alignment horizontal="right" vertical="center"/>
    </xf>
    <xf numFmtId="2" fontId="0" fillId="37" borderId="0" xfId="0" applyNumberFormat="1" applyFill="1" applyBorder="1" applyAlignment="1">
      <alignment horizontal="center" wrapText="1"/>
    </xf>
    <xf numFmtId="166" fontId="2" fillId="37" borderId="0" xfId="29" applyNumberFormat="1" applyFont="1" applyFill="1" applyBorder="1" applyAlignment="1">
      <alignment horizontal="right" vertical="center"/>
    </xf>
    <xf numFmtId="0" fontId="3" fillId="37" borderId="31" xfId="0" applyFont="1" applyFill="1" applyBorder="1" applyAlignment="1">
      <alignment horizontal="right"/>
    </xf>
    <xf numFmtId="0" fontId="3" fillId="37" borderId="11" xfId="0" applyFont="1" applyFill="1" applyBorder="1"/>
    <xf numFmtId="0" fontId="0" fillId="37" borderId="11" xfId="0" applyFill="1" applyBorder="1"/>
    <xf numFmtId="0" fontId="0" fillId="37" borderId="31" xfId="0" applyFill="1" applyBorder="1"/>
    <xf numFmtId="0" fontId="3" fillId="38" borderId="0" xfId="0" applyFont="1" applyFill="1"/>
    <xf numFmtId="43" fontId="3" fillId="37" borderId="31" xfId="0" applyNumberFormat="1" applyFont="1" applyFill="1" applyBorder="1"/>
    <xf numFmtId="43" fontId="3" fillId="37" borderId="12" xfId="0" applyNumberFormat="1" applyFont="1" applyFill="1" applyBorder="1"/>
    <xf numFmtId="43" fontId="3" fillId="38" borderId="11" xfId="0" applyNumberFormat="1" applyFont="1" applyFill="1" applyBorder="1"/>
    <xf numFmtId="43" fontId="0" fillId="37" borderId="7" xfId="0" applyNumberFormat="1" applyFill="1" applyBorder="1"/>
    <xf numFmtId="43" fontId="0" fillId="37" borderId="0" xfId="0" applyNumberFormat="1" applyFill="1"/>
    <xf numFmtId="43" fontId="69" fillId="38" borderId="0" xfId="0" applyNumberFormat="1" applyFont="1" applyFill="1"/>
    <xf numFmtId="43" fontId="0" fillId="37" borderId="28" xfId="0" applyNumberFormat="1" applyFill="1" applyBorder="1"/>
    <xf numFmtId="0" fontId="62" fillId="37" borderId="29" xfId="0" applyFont="1" applyFill="1" applyBorder="1" applyAlignment="1">
      <alignment horizontal="left"/>
    </xf>
    <xf numFmtId="0" fontId="2" fillId="37" borderId="0" xfId="0" applyFont="1" applyFill="1"/>
    <xf numFmtId="0" fontId="54" fillId="37" borderId="33" xfId="0" applyFont="1" applyFill="1" applyBorder="1"/>
    <xf numFmtId="0" fontId="54" fillId="37" borderId="0" xfId="0" applyFont="1" applyFill="1" applyBorder="1"/>
    <xf numFmtId="3" fontId="54" fillId="37" borderId="47" xfId="0" applyNumberFormat="1" applyFont="1" applyFill="1" applyBorder="1"/>
    <xf numFmtId="0" fontId="62" fillId="37" borderId="0" xfId="0" applyFont="1" applyFill="1" applyBorder="1" applyAlignment="1">
      <alignment horizontal="left"/>
    </xf>
    <xf numFmtId="170" fontId="61" fillId="37" borderId="0" xfId="29" applyNumberFormat="1" applyFont="1" applyFill="1" applyBorder="1" applyAlignment="1">
      <alignment horizontal="right" vertical="center"/>
    </xf>
    <xf numFmtId="170" fontId="70" fillId="37" borderId="0" xfId="0" applyNumberFormat="1" applyFont="1" applyFill="1" applyBorder="1" applyAlignment="1">
      <alignment horizontal="right" vertical="center" wrapText="1"/>
    </xf>
    <xf numFmtId="170" fontId="70" fillId="37" borderId="7" xfId="0" applyNumberFormat="1" applyFont="1" applyFill="1" applyBorder="1" applyAlignment="1">
      <alignment horizontal="right" vertical="center" wrapText="1"/>
    </xf>
    <xf numFmtId="170" fontId="70" fillId="27" borderId="12" xfId="29" applyNumberFormat="1" applyFont="1" applyFill="1" applyBorder="1" applyAlignment="1">
      <alignment horizontal="right" vertical="center"/>
    </xf>
    <xf numFmtId="170" fontId="70" fillId="27" borderId="12" xfId="0" applyNumberFormat="1" applyFont="1" applyFill="1" applyBorder="1" applyAlignment="1">
      <alignment horizontal="right" vertical="center" wrapText="1"/>
    </xf>
    <xf numFmtId="0" fontId="2" fillId="26" borderId="0" xfId="60" applyFont="1" applyFill="1"/>
    <xf numFmtId="0" fontId="8" fillId="26" borderId="0" xfId="60" applyFont="1" applyFill="1" applyBorder="1" applyAlignment="1">
      <alignment horizontal="left"/>
    </xf>
    <xf numFmtId="0" fontId="8" fillId="26" borderId="0" xfId="60" applyFont="1" applyFill="1"/>
    <xf numFmtId="0" fontId="2" fillId="0" borderId="0" xfId="60" applyFill="1"/>
    <xf numFmtId="0" fontId="3" fillId="17" borderId="11" xfId="60" applyFont="1" applyFill="1" applyBorder="1" applyAlignment="1">
      <alignment horizontal="center"/>
    </xf>
    <xf numFmtId="0" fontId="8" fillId="17" borderId="11" xfId="60" applyFont="1" applyFill="1" applyBorder="1" applyAlignment="1">
      <alignment horizontal="left"/>
    </xf>
    <xf numFmtId="0" fontId="3" fillId="17" borderId="11" xfId="60" applyFont="1" applyFill="1" applyBorder="1" applyAlignment="1">
      <alignment horizontal="right"/>
    </xf>
    <xf numFmtId="0" fontId="2" fillId="28" borderId="11" xfId="60" applyFill="1" applyBorder="1"/>
    <xf numFmtId="0" fontId="3" fillId="28" borderId="11" xfId="60" applyFont="1" applyFill="1" applyBorder="1" applyAlignment="1">
      <alignment vertical="center"/>
    </xf>
    <xf numFmtId="0" fontId="3" fillId="28" borderId="11" xfId="60" applyFont="1" applyFill="1" applyBorder="1" applyAlignment="1">
      <alignment horizontal="right"/>
    </xf>
    <xf numFmtId="0" fontId="3" fillId="26" borderId="0" xfId="60" applyFont="1" applyFill="1" applyAlignment="1">
      <alignment horizontal="center"/>
    </xf>
    <xf numFmtId="166" fontId="3" fillId="26" borderId="0" xfId="60" applyNumberFormat="1" applyFont="1" applyFill="1" applyAlignment="1">
      <alignment horizontal="center"/>
    </xf>
    <xf numFmtId="0" fontId="3" fillId="26" borderId="13" xfId="60" applyFont="1" applyFill="1" applyBorder="1" applyAlignment="1">
      <alignment horizontal="center" wrapText="1"/>
    </xf>
    <xf numFmtId="166" fontId="3" fillId="26" borderId="13" xfId="60" applyNumberFormat="1" applyFont="1" applyFill="1" applyBorder="1" applyAlignment="1">
      <alignment horizontal="center" wrapText="1"/>
    </xf>
    <xf numFmtId="0" fontId="3" fillId="0" borderId="0" xfId="60" applyFont="1" applyAlignment="1">
      <alignment horizontal="center"/>
    </xf>
    <xf numFmtId="0" fontId="2" fillId="26" borderId="0" xfId="60" applyFill="1"/>
    <xf numFmtId="166" fontId="2" fillId="39" borderId="0" xfId="60" applyNumberFormat="1" applyFont="1" applyFill="1" applyBorder="1"/>
    <xf numFmtId="0" fontId="71" fillId="26" borderId="14" xfId="63" applyFont="1" applyFill="1" applyBorder="1" applyAlignment="1">
      <alignment horizontal="right"/>
    </xf>
    <xf numFmtId="0" fontId="2" fillId="39" borderId="14" xfId="60" applyFill="1" applyBorder="1"/>
    <xf numFmtId="0" fontId="2" fillId="26" borderId="0" xfId="60" applyFont="1" applyFill="1" applyBorder="1" applyAlignment="1">
      <alignment horizontal="right"/>
    </xf>
    <xf numFmtId="0" fontId="2" fillId="26" borderId="0" xfId="60" applyFill="1" applyBorder="1"/>
    <xf numFmtId="43" fontId="2" fillId="26" borderId="0" xfId="60" applyNumberFormat="1" applyFont="1" applyFill="1"/>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0" xfId="60" applyNumberFormat="1" applyFont="1" applyFill="1" applyBorder="1" applyAlignment="1">
      <alignment horizontal="left"/>
    </xf>
    <xf numFmtId="166" fontId="2" fillId="26" borderId="0" xfId="60" applyNumberFormat="1" applyFont="1" applyFill="1" applyBorder="1"/>
    <xf numFmtId="166" fontId="2" fillId="26" borderId="0" xfId="60" applyNumberFormat="1" applyFont="1" applyFill="1" applyBorder="1" applyAlignment="1">
      <alignment horizontal="right"/>
    </xf>
    <xf numFmtId="166" fontId="2" fillId="26" borderId="0" xfId="60" applyNumberFormat="1" applyFont="1" applyFill="1"/>
    <xf numFmtId="166" fontId="2" fillId="26" borderId="0" xfId="60" applyNumberFormat="1" applyFill="1"/>
    <xf numFmtId="0" fontId="16" fillId="26" borderId="0" xfId="60" applyFont="1" applyFill="1"/>
    <xf numFmtId="0" fontId="16" fillId="26" borderId="0" xfId="60" applyFont="1" applyFill="1" applyAlignment="1">
      <alignment horizontal="right"/>
    </xf>
    <xf numFmtId="166" fontId="16" fillId="26" borderId="0" xfId="60" applyNumberFormat="1" applyFont="1" applyFill="1" applyAlignment="1">
      <alignment horizontal="right"/>
    </xf>
    <xf numFmtId="166" fontId="2" fillId="26" borderId="0" xfId="60" applyNumberFormat="1" applyFont="1" applyFill="1" applyAlignment="1">
      <alignment horizontal="right"/>
    </xf>
    <xf numFmtId="166" fontId="16" fillId="26" borderId="0" xfId="60" applyNumberFormat="1" applyFont="1" applyFill="1"/>
    <xf numFmtId="166" fontId="2" fillId="0" borderId="0" xfId="60" applyNumberFormat="1"/>
    <xf numFmtId="0" fontId="16" fillId="0" borderId="0" xfId="60" applyFont="1"/>
    <xf numFmtId="0" fontId="16" fillId="0" borderId="0" xfId="60" applyFont="1" applyAlignment="1">
      <alignment horizontal="right"/>
    </xf>
    <xf numFmtId="166" fontId="16" fillId="0" borderId="0" xfId="60" applyNumberFormat="1" applyFont="1" applyAlignment="1">
      <alignment horizontal="right"/>
    </xf>
    <xf numFmtId="166" fontId="16" fillId="0" borderId="0" xfId="60" applyNumberFormat="1" applyFont="1"/>
    <xf numFmtId="166" fontId="73" fillId="31" borderId="0" xfId="60" applyNumberFormat="1" applyFont="1" applyFill="1" applyAlignment="1">
      <alignment horizontal="right"/>
    </xf>
    <xf numFmtId="166" fontId="67" fillId="31" borderId="0" xfId="60" applyNumberFormat="1" applyFont="1" applyFill="1"/>
    <xf numFmtId="166" fontId="2" fillId="32" borderId="14"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0" xfId="60" applyNumberFormat="1" applyFont="1" applyFill="1" applyBorder="1" applyAlignment="1">
      <alignment horizontal="left"/>
    </xf>
    <xf numFmtId="166" fontId="2" fillId="32" borderId="14" xfId="60" applyNumberFormat="1" applyFont="1" applyFill="1" applyBorder="1"/>
    <xf numFmtId="180" fontId="2" fillId="32" borderId="14" xfId="60" applyNumberFormat="1" applyFont="1" applyFill="1" applyBorder="1" applyAlignment="1">
      <alignment horizontal="right"/>
    </xf>
    <xf numFmtId="166" fontId="2" fillId="32" borderId="0" xfId="60" applyNumberFormat="1" applyFont="1" applyFill="1" applyBorder="1"/>
    <xf numFmtId="180" fontId="2" fillId="32" borderId="0" xfId="60" applyNumberFormat="1" applyFont="1" applyFill="1" applyBorder="1" applyAlignment="1">
      <alignment horizontal="right"/>
    </xf>
    <xf numFmtId="166" fontId="2" fillId="32" borderId="0" xfId="60" applyNumberFormat="1" applyFont="1" applyFill="1" applyBorder="1" applyAlignment="1">
      <alignment horizontal="right"/>
    </xf>
    <xf numFmtId="166" fontId="71" fillId="32" borderId="0" xfId="60" applyNumberFormat="1" applyFont="1" applyFill="1" applyBorder="1"/>
    <xf numFmtId="180" fontId="71" fillId="32" borderId="0" xfId="60" applyNumberFormat="1" applyFont="1" applyFill="1" applyBorder="1" applyAlignment="1">
      <alignment horizontal="right"/>
    </xf>
    <xf numFmtId="166" fontId="71" fillId="32" borderId="0" xfId="60" applyNumberFormat="1" applyFont="1" applyFill="1" applyBorder="1" applyAlignment="1">
      <alignment horizontal="right"/>
    </xf>
    <xf numFmtId="166" fontId="68" fillId="32" borderId="0" xfId="60" applyNumberFormat="1" applyFont="1" applyFill="1" applyBorder="1" applyAlignment="1">
      <alignment horizontal="left"/>
    </xf>
    <xf numFmtId="3" fontId="55" fillId="37" borderId="13" xfId="0" applyNumberFormat="1" applyFont="1" applyFill="1" applyBorder="1" applyAlignment="1">
      <alignment horizontal="right" vertical="top" wrapText="1"/>
    </xf>
    <xf numFmtId="0" fontId="3" fillId="37" borderId="11" xfId="0" applyFont="1" applyFill="1" applyBorder="1" applyAlignment="1">
      <alignment horizontal="right"/>
    </xf>
    <xf numFmtId="43" fontId="16" fillId="37" borderId="0" xfId="63" applyNumberFormat="1" applyFont="1" applyFill="1" applyAlignment="1">
      <alignment horizontal="center"/>
    </xf>
    <xf numFmtId="3" fontId="54" fillId="37" borderId="49" xfId="0" applyNumberFormat="1" applyFont="1" applyFill="1" applyBorder="1" applyAlignment="1">
      <alignment horizontal="right"/>
    </xf>
    <xf numFmtId="3" fontId="54" fillId="37" borderId="52" xfId="0" applyNumberFormat="1" applyFont="1" applyFill="1" applyBorder="1" applyAlignment="1">
      <alignment horizontal="right"/>
    </xf>
    <xf numFmtId="3" fontId="54" fillId="37" borderId="53" xfId="0" applyNumberFormat="1" applyFont="1" applyFill="1" applyBorder="1" applyAlignment="1">
      <alignment horizontal="right"/>
    </xf>
    <xf numFmtId="2" fontId="5" fillId="27" borderId="14" xfId="0" applyNumberFormat="1" applyFont="1" applyFill="1" applyBorder="1" applyAlignment="1">
      <alignment horizontal="center" vertical="center" wrapText="1"/>
    </xf>
    <xf numFmtId="2" fontId="5" fillId="27" borderId="0" xfId="0" applyNumberFormat="1" applyFont="1" applyFill="1" applyBorder="1" applyAlignment="1">
      <alignment horizontal="center" vertical="center" wrapText="1"/>
    </xf>
    <xf numFmtId="10" fontId="0" fillId="26" borderId="0" xfId="56" applyNumberFormat="1" applyFont="1" applyFill="1" applyAlignment="1">
      <alignment horizontal="center"/>
    </xf>
    <xf numFmtId="10" fontId="2" fillId="38" borderId="21" xfId="56" applyNumberFormat="1" applyFill="1" applyBorder="1"/>
    <xf numFmtId="10" fontId="49" fillId="38" borderId="14" xfId="56" applyNumberFormat="1" applyFont="1" applyFill="1" applyBorder="1"/>
    <xf numFmtId="10" fontId="2" fillId="38" borderId="14" xfId="56" applyNumberFormat="1" applyFill="1" applyBorder="1"/>
    <xf numFmtId="171" fontId="2" fillId="38" borderId="0" xfId="29" applyNumberFormat="1" applyFill="1" applyBorder="1"/>
    <xf numFmtId="0" fontId="5" fillId="27" borderId="17" xfId="0" applyFont="1" applyFill="1" applyBorder="1" applyAlignment="1">
      <alignment horizontal="left" vertical="center"/>
    </xf>
    <xf numFmtId="0" fontId="5" fillId="27" borderId="14" xfId="0" applyFont="1" applyFill="1" applyBorder="1" applyAlignment="1">
      <alignment horizontal="left" vertical="center"/>
    </xf>
    <xf numFmtId="0" fontId="3" fillId="26" borderId="26" xfId="0" applyFont="1" applyFill="1" applyBorder="1" applyAlignment="1">
      <alignment horizontal="center" wrapText="1"/>
    </xf>
    <xf numFmtId="0" fontId="0" fillId="27" borderId="27" xfId="0" applyFill="1" applyBorder="1" applyAlignment="1">
      <alignment horizontal="left"/>
    </xf>
    <xf numFmtId="0" fontId="0" fillId="27" borderId="0" xfId="0" applyFill="1" applyBorder="1" applyAlignment="1">
      <alignment horizontal="left"/>
    </xf>
    <xf numFmtId="0" fontId="49" fillId="27" borderId="27" xfId="0" applyFont="1" applyFill="1" applyBorder="1" applyAlignment="1">
      <alignment horizontal="left"/>
    </xf>
    <xf numFmtId="0" fontId="49" fillId="27" borderId="0" xfId="0" applyFont="1" applyFill="1" applyBorder="1" applyAlignment="1">
      <alignment horizontal="left"/>
    </xf>
    <xf numFmtId="4" fontId="0" fillId="27" borderId="17" xfId="0" applyNumberFormat="1" applyFill="1" applyBorder="1" applyAlignment="1">
      <alignment horizontal="left"/>
    </xf>
    <xf numFmtId="4" fontId="0" fillId="27" borderId="14" xfId="0" applyNumberFormat="1" applyFill="1" applyBorder="1" applyAlignment="1">
      <alignment horizontal="left"/>
    </xf>
    <xf numFmtId="0" fontId="24" fillId="26" borderId="28" xfId="0" applyFont="1" applyFill="1" applyBorder="1" applyAlignment="1">
      <alignment horizontal="center" vertical="center" textRotation="255"/>
    </xf>
    <xf numFmtId="0" fontId="24" fillId="26" borderId="7" xfId="0" applyFont="1" applyFill="1" applyBorder="1" applyAlignment="1">
      <alignment horizontal="center" vertical="center" textRotation="255"/>
    </xf>
    <xf numFmtId="0" fontId="24" fillId="26" borderId="29" xfId="0" applyFont="1" applyFill="1" applyBorder="1" applyAlignment="1">
      <alignment horizontal="center" vertical="center" textRotation="255"/>
    </xf>
    <xf numFmtId="0" fontId="0" fillId="26" borderId="15" xfId="0" applyFill="1" applyBorder="1" applyAlignment="1">
      <alignment horizontal="center" vertical="center" textRotation="255"/>
    </xf>
    <xf numFmtId="0" fontId="0" fillId="26" borderId="16" xfId="0" applyFill="1" applyBorder="1" applyAlignment="1">
      <alignment horizontal="center" vertical="center" textRotation="255"/>
    </xf>
    <xf numFmtId="0" fontId="24" fillId="26" borderId="30" xfId="0" applyFont="1" applyFill="1" applyBorder="1" applyAlignment="1">
      <alignment horizontal="center"/>
    </xf>
    <xf numFmtId="0" fontId="24" fillId="26" borderId="31" xfId="0" applyFont="1" applyFill="1" applyBorder="1" applyAlignment="1">
      <alignment horizontal="center"/>
    </xf>
    <xf numFmtId="0" fontId="47" fillId="26" borderId="30" xfId="0" applyFont="1" applyFill="1" applyBorder="1" applyAlignment="1">
      <alignment horizontal="center"/>
    </xf>
    <xf numFmtId="0" fontId="47" fillId="26" borderId="31" xfId="0" applyFont="1" applyFill="1" applyBorder="1" applyAlignment="1">
      <alignment horizontal="center"/>
    </xf>
    <xf numFmtId="0" fontId="61" fillId="27" borderId="29" xfId="0" applyFont="1" applyFill="1" applyBorder="1" applyAlignment="1">
      <alignment horizontal="left"/>
    </xf>
    <xf numFmtId="0" fontId="61" fillId="27" borderId="0" xfId="0" applyFont="1" applyFill="1" applyBorder="1" applyAlignment="1">
      <alignment horizontal="left"/>
    </xf>
    <xf numFmtId="0" fontId="62" fillId="27" borderId="29" xfId="0" applyFont="1" applyFill="1" applyBorder="1" applyAlignment="1">
      <alignment horizontal="left"/>
    </xf>
    <xf numFmtId="0" fontId="62" fillId="27" borderId="0" xfId="0" applyFont="1" applyFill="1" applyBorder="1" applyAlignment="1">
      <alignment horizontal="left"/>
    </xf>
    <xf numFmtId="0" fontId="61" fillId="27" borderId="44" xfId="0" applyFont="1" applyFill="1" applyBorder="1" applyAlignment="1">
      <alignment horizontal="left"/>
    </xf>
    <xf numFmtId="0" fontId="61" fillId="27" borderId="12" xfId="0" applyFont="1" applyFill="1" applyBorder="1" applyAlignment="1">
      <alignment horizontal="left"/>
    </xf>
    <xf numFmtId="0" fontId="3" fillId="28" borderId="11" xfId="60" applyFont="1" applyFill="1" applyBorder="1" applyAlignment="1">
      <alignment horizontal="left" vertical="center"/>
    </xf>
    <xf numFmtId="0" fontId="3" fillId="26" borderId="13" xfId="60" applyFont="1" applyFill="1" applyBorder="1" applyAlignment="1">
      <alignment horizontal="center"/>
    </xf>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17" xfId="60" applyNumberFormat="1" applyFont="1" applyFill="1" applyBorder="1" applyAlignment="1">
      <alignment horizontal="left"/>
    </xf>
    <xf numFmtId="166" fontId="2" fillId="26" borderId="14" xfId="60" applyNumberFormat="1" applyFont="1" applyFill="1" applyBorder="1" applyAlignment="1">
      <alignment horizontal="left"/>
    </xf>
    <xf numFmtId="166" fontId="2" fillId="26" borderId="27" xfId="60" applyNumberFormat="1" applyFont="1" applyFill="1" applyBorder="1" applyAlignment="1">
      <alignment horizontal="left"/>
    </xf>
    <xf numFmtId="166" fontId="2" fillId="26" borderId="0" xfId="60" applyNumberFormat="1" applyFont="1" applyFill="1" applyBorder="1" applyAlignment="1">
      <alignment horizontal="left"/>
    </xf>
    <xf numFmtId="166" fontId="2" fillId="32" borderId="27"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27" xfId="60" applyNumberFormat="1" applyFont="1" applyFill="1" applyBorder="1" applyAlignment="1">
      <alignment horizontal="left"/>
    </xf>
    <xf numFmtId="166" fontId="71" fillId="32" borderId="0" xfId="60" applyNumberFormat="1" applyFont="1" applyFill="1" applyBorder="1" applyAlignment="1">
      <alignment horizontal="left"/>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mma" xfId="29" builtinId="3"/>
    <cellStyle name="Comma 2" xfId="64"/>
    <cellStyle name="Comma 3" xfId="65"/>
    <cellStyle name="Currency" xfId="30" builtinId="4"/>
    <cellStyle name="Currency 2" xfId="66"/>
    <cellStyle name="Currency 3" xfId="67"/>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mport" xfId="37"/>
    <cellStyle name="import%" xfId="38"/>
    <cellStyle name="import_ICRC Electricity model 1-1  (1 Feb 2003) " xfId="39"/>
    <cellStyle name="Input" xfId="40" builtinId="20" customBuiltin="1"/>
    <cellStyle name="Input1" xfId="41"/>
    <cellStyle name="Input1 2" xfId="68"/>
    <cellStyle name="Input1%" xfId="42"/>
    <cellStyle name="Input1_ICRC Electricity model 1-1  (1 Feb 2003) " xfId="43"/>
    <cellStyle name="Input1default" xfId="44"/>
    <cellStyle name="Input1default%" xfId="45"/>
    <cellStyle name="Input2" xfId="46"/>
    <cellStyle name="Input3" xfId="47"/>
    <cellStyle name="Input3 2" xfId="69"/>
    <cellStyle name="key result" xfId="48"/>
    <cellStyle name="Linked Cell" xfId="49" builtinId="24" customBuiltin="1"/>
    <cellStyle name="Local import" xfId="50"/>
    <cellStyle name="Local import %" xfId="51"/>
    <cellStyle name="Neutral" xfId="52" builtinId="28" customBuiltin="1"/>
    <cellStyle name="Normal" xfId="0" builtinId="0"/>
    <cellStyle name="Normal 2" xfId="60"/>
    <cellStyle name="Normal 2 2" xfId="63"/>
    <cellStyle name="Normal 3" xfId="61"/>
    <cellStyle name="Normal_2005 03 27 RAB model" xfId="53"/>
    <cellStyle name="Note" xfId="54" builtinId="10" customBuiltin="1"/>
    <cellStyle name="Output" xfId="55" builtinId="21" customBuiltin="1"/>
    <cellStyle name="Percent" xfId="56" builtinId="5"/>
    <cellStyle name="Percent 2" xfId="62"/>
    <cellStyle name="Percent 3" xfId="70"/>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0000FF"/>
      <color rgb="FFFF00FF"/>
      <color rgb="FFCCFFFF"/>
      <color rgb="FFCC99FF"/>
      <color rgb="FF9999FF"/>
      <color rgb="FFCCCCFF"/>
      <color rgb="FF008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4</xdr:col>
      <xdr:colOff>678997</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544786"/>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 min="5" max="5" width="12.7109375" bestFit="1" customWidth="1"/>
  </cols>
  <sheetData>
    <row r="1" spans="1:23" ht="44.25" customHeight="1">
      <c r="A1" s="9"/>
      <c r="B1" s="9"/>
      <c r="D1" s="46"/>
      <c r="E1" s="132"/>
      <c r="F1" s="237" t="s">
        <v>92</v>
      </c>
      <c r="R1" s="9"/>
      <c r="S1" s="9"/>
      <c r="T1" s="9"/>
      <c r="U1" s="9"/>
      <c r="V1" s="9"/>
      <c r="W1" s="9"/>
    </row>
    <row r="2" spans="1:23" ht="44.25" customHeight="1">
      <c r="A2" s="9"/>
      <c r="B2" s="9"/>
      <c r="D2" s="46"/>
      <c r="F2" s="237"/>
      <c r="K2" s="237" t="s">
        <v>94</v>
      </c>
      <c r="R2" s="9"/>
      <c r="S2" s="9"/>
      <c r="T2" s="9"/>
      <c r="U2" s="9"/>
      <c r="V2" s="9"/>
      <c r="W2" s="9"/>
    </row>
    <row r="3" spans="1:23" ht="54.95" customHeight="1">
      <c r="A3" s="9"/>
      <c r="B3" s="9"/>
      <c r="D3" s="46"/>
      <c r="G3" s="237"/>
      <c r="K3" s="187" t="s">
        <v>198</v>
      </c>
      <c r="R3" s="9"/>
      <c r="S3" s="9"/>
      <c r="T3" s="9"/>
      <c r="U3" s="9"/>
      <c r="V3" s="9"/>
      <c r="W3" s="9"/>
    </row>
    <row r="4" spans="1:23" ht="36" customHeight="1">
      <c r="A4" s="9"/>
      <c r="B4" s="9"/>
      <c r="D4" s="46"/>
      <c r="G4" s="237"/>
      <c r="J4" s="189"/>
      <c r="K4" s="238" t="s">
        <v>199</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293"/>
      <c r="T10" s="136"/>
      <c r="U10" s="136"/>
      <c r="V10" s="136"/>
      <c r="W10" s="136"/>
    </row>
    <row r="11" spans="1:23" ht="27" customHeight="1">
      <c r="A11" s="9"/>
      <c r="B11" s="9"/>
      <c r="C11" s="9"/>
      <c r="D11" s="9"/>
      <c r="E11" s="9"/>
      <c r="F11" s="9"/>
      <c r="G11" s="9"/>
      <c r="H11" s="9"/>
      <c r="I11" s="9"/>
      <c r="J11" s="9"/>
      <c r="K11" s="9"/>
      <c r="L11" s="9"/>
      <c r="M11" s="9"/>
      <c r="N11" s="9"/>
      <c r="O11" s="9"/>
      <c r="P11" s="9"/>
      <c r="Q11" s="9"/>
      <c r="R11" s="9"/>
      <c r="S11" s="291"/>
      <c r="T11" s="9"/>
      <c r="U11" s="9"/>
      <c r="V11" s="9"/>
      <c r="W11" s="9"/>
    </row>
    <row r="12" spans="1:23" ht="15">
      <c r="A12" s="9"/>
      <c r="B12" s="9"/>
      <c r="C12" s="43"/>
      <c r="D12" s="43"/>
      <c r="E12" s="43"/>
      <c r="F12" s="43"/>
      <c r="G12" s="43"/>
      <c r="H12" s="43"/>
      <c r="I12" s="43"/>
      <c r="J12" s="43"/>
      <c r="K12" s="43"/>
      <c r="L12" s="43"/>
      <c r="M12" s="9"/>
      <c r="N12" s="9"/>
      <c r="O12" s="9"/>
      <c r="P12" s="9"/>
      <c r="Q12" s="9"/>
      <c r="R12" s="9"/>
      <c r="S12" s="291"/>
      <c r="T12" s="9"/>
      <c r="U12" s="9"/>
      <c r="V12" s="9"/>
      <c r="W12" s="9"/>
    </row>
    <row r="13" spans="1:23" ht="15">
      <c r="A13" s="9"/>
      <c r="B13" s="9"/>
      <c r="C13" s="171" t="s">
        <v>95</v>
      </c>
      <c r="D13" s="43"/>
      <c r="E13" s="43"/>
      <c r="F13" s="43"/>
      <c r="G13" s="43"/>
      <c r="H13" s="43"/>
      <c r="I13" s="43"/>
      <c r="J13" s="43"/>
      <c r="K13" s="43"/>
      <c r="L13" s="43"/>
      <c r="M13" s="9"/>
      <c r="N13" s="9"/>
      <c r="O13" s="9"/>
      <c r="P13" s="9"/>
      <c r="Q13" s="9"/>
      <c r="R13" s="9"/>
      <c r="S13" s="9"/>
      <c r="T13" s="9"/>
      <c r="U13" s="9"/>
      <c r="V13" s="9"/>
      <c r="W13" s="9"/>
    </row>
    <row r="14" spans="1:23" ht="15">
      <c r="A14" s="9"/>
      <c r="B14" s="9"/>
      <c r="C14" s="171" t="s">
        <v>93</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39"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0" t="s">
        <v>107</v>
      </c>
      <c r="E21" s="241" t="s">
        <v>108</v>
      </c>
      <c r="F21" s="241"/>
      <c r="G21" s="241" t="s">
        <v>109</v>
      </c>
      <c r="H21" s="241"/>
      <c r="I21" s="43"/>
      <c r="J21" s="43"/>
      <c r="K21" s="43"/>
      <c r="L21" s="43"/>
      <c r="M21" s="9"/>
      <c r="N21" s="9"/>
      <c r="O21" s="9"/>
      <c r="P21" s="9"/>
      <c r="Q21" s="9"/>
      <c r="R21" s="9"/>
      <c r="S21" s="9"/>
      <c r="T21" s="9"/>
      <c r="U21" s="9"/>
      <c r="V21" s="9"/>
      <c r="W21" s="9"/>
    </row>
    <row r="22" spans="1:23" ht="15">
      <c r="A22" s="9"/>
      <c r="B22" s="9"/>
      <c r="C22" s="43"/>
      <c r="D22" s="242" t="s">
        <v>110</v>
      </c>
      <c r="E22" s="426">
        <v>39625</v>
      </c>
      <c r="F22" s="171"/>
      <c r="G22" s="171"/>
      <c r="H22" s="171"/>
      <c r="I22" s="43"/>
      <c r="J22" s="43"/>
      <c r="K22" s="43"/>
      <c r="L22" s="43"/>
      <c r="M22" s="9"/>
      <c r="N22" s="9"/>
      <c r="O22" s="9"/>
      <c r="P22" s="9"/>
      <c r="Q22" s="9"/>
      <c r="R22" s="9"/>
      <c r="S22" s="9"/>
      <c r="T22" s="9"/>
      <c r="U22" s="9"/>
      <c r="V22" s="9"/>
      <c r="W22" s="9"/>
    </row>
    <row r="23" spans="1:23">
      <c r="A23" s="9"/>
      <c r="B23" s="9"/>
    </row>
    <row r="24" spans="1:23">
      <c r="A24" s="9"/>
      <c r="B24" s="9"/>
    </row>
    <row r="25" spans="1:23">
      <c r="A25" s="9"/>
      <c r="B25" s="9"/>
    </row>
    <row r="26" spans="1:23">
      <c r="A26" s="9"/>
      <c r="B26" s="9"/>
    </row>
    <row r="27" spans="1:23">
      <c r="A27" s="9"/>
      <c r="B27" s="9"/>
    </row>
    <row r="28" spans="1:23">
      <c r="A28" s="9"/>
      <c r="B28" s="9"/>
    </row>
    <row r="29" spans="1:23" ht="15">
      <c r="A29" s="9"/>
      <c r="B29" s="9"/>
      <c r="C29" s="43"/>
      <c r="D29" s="24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27"/>
      <c r="F40" s="189"/>
      <c r="G40" s="189"/>
      <c r="H40" s="9"/>
      <c r="I40" s="9"/>
      <c r="J40" s="9"/>
      <c r="K40" s="9"/>
      <c r="L40" s="9"/>
      <c r="M40" s="9"/>
      <c r="N40" s="9"/>
      <c r="O40" s="9"/>
      <c r="P40" s="9"/>
      <c r="Q40" s="9"/>
      <c r="R40" s="9"/>
      <c r="S40" s="9"/>
      <c r="T40" s="9"/>
      <c r="U40" s="9"/>
      <c r="V40" s="9"/>
      <c r="W40" s="9"/>
    </row>
    <row r="41" spans="1:23" ht="15">
      <c r="A41" s="9"/>
      <c r="B41" s="9"/>
      <c r="C41" s="9"/>
      <c r="D41" s="236"/>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5"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21"/>
  <sheetViews>
    <sheetView zoomScale="85" zoomScaleNormal="85" workbookViewId="0">
      <selection activeCell="H178" sqref="H178:Q178"/>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18" width="13.140625" customWidth="1"/>
    <col min="19" max="19" width="34.28515625" bestFit="1" customWidth="1"/>
    <col min="20" max="23" width="13.140625" customWidth="1"/>
    <col min="24" max="26" width="11.85546875" customWidth="1"/>
    <col min="27" max="27" width="15.85546875" customWidth="1"/>
    <col min="28" max="28" width="11.5703125" bestFit="1" customWidth="1"/>
    <col min="29" max="29" width="11.5703125" style="7" bestFit="1" customWidth="1"/>
    <col min="30" max="30" width="12.28515625" customWidth="1"/>
    <col min="31" max="31" width="12" customWidth="1"/>
    <col min="32" max="32" width="10.42578125" customWidth="1"/>
  </cols>
  <sheetData>
    <row r="1" spans="1:49">
      <c r="A1" s="12"/>
      <c r="B1" s="12"/>
      <c r="C1" s="12"/>
      <c r="D1" s="12"/>
      <c r="E1" s="12"/>
      <c r="F1" s="51"/>
      <c r="G1" s="51"/>
      <c r="H1" s="51"/>
      <c r="I1" s="51"/>
      <c r="J1" s="51"/>
      <c r="K1" s="51"/>
      <c r="L1" s="51"/>
      <c r="M1" s="51"/>
      <c r="N1" s="51"/>
      <c r="O1" s="51"/>
      <c r="P1" s="51"/>
      <c r="Q1" s="51"/>
      <c r="R1" s="51"/>
      <c r="S1" s="51"/>
      <c r="T1" s="51"/>
      <c r="U1" s="51"/>
      <c r="V1" s="51"/>
      <c r="W1" s="51"/>
      <c r="X1" s="51"/>
      <c r="Y1" s="51"/>
      <c r="Z1" s="51"/>
      <c r="AA1" s="315" t="s">
        <v>146</v>
      </c>
      <c r="AB1" s="323">
        <v>166.2</v>
      </c>
      <c r="AC1" s="19"/>
      <c r="AD1" s="9"/>
      <c r="AE1" s="9"/>
      <c r="AF1" s="9"/>
      <c r="AG1" s="189"/>
      <c r="AH1" s="189"/>
      <c r="AI1" s="189"/>
      <c r="AJ1" s="189"/>
      <c r="AK1" s="189"/>
      <c r="AL1" s="189"/>
      <c r="AM1" s="189"/>
      <c r="AN1" s="189"/>
      <c r="AO1" s="189"/>
      <c r="AP1" s="189"/>
      <c r="AQ1" s="189"/>
      <c r="AR1" s="189"/>
      <c r="AS1" s="189"/>
      <c r="AT1" s="189"/>
      <c r="AU1" s="189"/>
      <c r="AV1" s="189"/>
      <c r="AW1" s="189"/>
    </row>
    <row r="2" spans="1:49" ht="16.5" customHeight="1">
      <c r="A2" s="12"/>
      <c r="B2" s="12"/>
      <c r="C2" s="12"/>
      <c r="D2" s="12"/>
      <c r="E2" s="12"/>
      <c r="F2" s="53" t="s">
        <v>21</v>
      </c>
      <c r="G2" s="527" t="s">
        <v>77</v>
      </c>
      <c r="H2" s="528"/>
      <c r="I2" s="51"/>
      <c r="J2" s="51"/>
      <c r="K2" s="295"/>
      <c r="L2" s="51"/>
      <c r="M2" s="51"/>
      <c r="N2" s="51"/>
      <c r="O2" s="51"/>
      <c r="P2" s="51"/>
      <c r="Q2" s="51"/>
      <c r="R2" s="51"/>
      <c r="S2" s="51"/>
      <c r="T2" s="51"/>
      <c r="U2" s="51"/>
      <c r="V2" s="51"/>
      <c r="W2" s="51"/>
      <c r="X2" s="51"/>
      <c r="Y2" s="51"/>
      <c r="Z2" s="19"/>
      <c r="AA2" s="315" t="s">
        <v>145</v>
      </c>
      <c r="AB2" s="323">
        <v>168.6</v>
      </c>
      <c r="AC2" s="19"/>
      <c r="AD2" s="9"/>
      <c r="AE2" s="9"/>
      <c r="AF2" s="9"/>
      <c r="AG2" s="189"/>
      <c r="AH2" s="189"/>
      <c r="AI2" s="189"/>
      <c r="AJ2" s="189"/>
      <c r="AK2" s="189"/>
      <c r="AL2" s="189"/>
      <c r="AM2" s="189"/>
      <c r="AN2" s="189"/>
      <c r="AO2" s="189"/>
      <c r="AP2" s="189"/>
      <c r="AQ2" s="189"/>
      <c r="AR2" s="189"/>
      <c r="AS2" s="189"/>
      <c r="AT2" s="189"/>
      <c r="AU2" s="189"/>
      <c r="AV2" s="189"/>
      <c r="AW2" s="189"/>
    </row>
    <row r="3" spans="1:49" s="49" customFormat="1">
      <c r="A3" s="55"/>
      <c r="B3" s="55"/>
      <c r="C3" s="55"/>
      <c r="D3" s="55"/>
      <c r="E3" s="55"/>
      <c r="F3" s="56"/>
      <c r="G3" s="56"/>
      <c r="H3" s="55"/>
      <c r="I3" s="55"/>
      <c r="J3" s="55"/>
      <c r="K3" s="55"/>
      <c r="L3" s="55"/>
      <c r="M3" s="55"/>
      <c r="N3" s="55"/>
      <c r="O3" s="55"/>
      <c r="P3" s="55"/>
      <c r="Q3" s="55"/>
      <c r="R3" s="55"/>
      <c r="S3" s="55"/>
      <c r="T3" s="55"/>
      <c r="U3" s="55"/>
      <c r="V3" s="55"/>
      <c r="W3" s="55"/>
      <c r="X3" s="55"/>
      <c r="Y3" s="55"/>
      <c r="Z3" s="54"/>
      <c r="AA3" s="315" t="s">
        <v>147</v>
      </c>
      <c r="AB3" s="324">
        <v>1.0144404332129964</v>
      </c>
      <c r="AC3" s="54"/>
      <c r="AD3" s="46"/>
      <c r="AE3" s="46"/>
      <c r="AF3" s="46"/>
      <c r="AG3" s="206"/>
      <c r="AH3" s="206"/>
      <c r="AI3" s="206"/>
      <c r="AJ3" s="206"/>
      <c r="AK3" s="206"/>
      <c r="AL3" s="206"/>
      <c r="AM3" s="206"/>
      <c r="AN3" s="206"/>
      <c r="AO3" s="206"/>
      <c r="AP3" s="206"/>
      <c r="AQ3" s="206"/>
      <c r="AR3" s="206"/>
      <c r="AS3" s="206"/>
      <c r="AT3" s="206"/>
      <c r="AU3" s="206"/>
      <c r="AV3" s="206"/>
      <c r="AW3" s="206"/>
    </row>
    <row r="4" spans="1:49" s="6" customFormat="1" ht="15.75">
      <c r="A4" s="70"/>
      <c r="B4" s="70"/>
      <c r="C4" s="70"/>
      <c r="D4" s="70"/>
      <c r="E4" s="70"/>
      <c r="F4" s="71"/>
      <c r="G4" s="71"/>
      <c r="H4" s="72"/>
      <c r="I4" s="73"/>
      <c r="J4" s="71"/>
      <c r="K4" s="70"/>
      <c r="L4" s="70"/>
      <c r="M4" s="70"/>
      <c r="N4" s="70"/>
      <c r="O4" s="70"/>
      <c r="P4" s="70"/>
      <c r="Q4" s="70"/>
      <c r="R4" s="70"/>
      <c r="S4" s="70"/>
      <c r="T4" s="70"/>
      <c r="U4" s="70"/>
      <c r="V4" s="70"/>
      <c r="W4" s="70"/>
      <c r="X4" s="70"/>
      <c r="Y4" s="70"/>
      <c r="Z4" s="42"/>
      <c r="AA4" s="315" t="s">
        <v>148</v>
      </c>
      <c r="AB4" s="325">
        <v>18.588450406700304</v>
      </c>
      <c r="AC4" s="42"/>
      <c r="AD4" s="43"/>
      <c r="AE4" s="43"/>
      <c r="AF4" s="43"/>
      <c r="AG4" s="227"/>
      <c r="AH4" s="227"/>
      <c r="AI4" s="227"/>
      <c r="AJ4" s="227"/>
      <c r="AK4" s="227"/>
      <c r="AL4" s="227"/>
      <c r="AM4" s="227"/>
      <c r="AN4" s="227"/>
      <c r="AO4" s="227"/>
      <c r="AP4" s="227"/>
      <c r="AQ4" s="227"/>
      <c r="AR4" s="227"/>
      <c r="AS4" s="227"/>
      <c r="AT4" s="227"/>
      <c r="AU4" s="227"/>
      <c r="AV4" s="227"/>
      <c r="AW4" s="227"/>
    </row>
    <row r="5" spans="1:49">
      <c r="A5" s="74"/>
      <c r="B5" s="74"/>
      <c r="C5" s="74"/>
      <c r="D5" s="74"/>
      <c r="E5" s="74"/>
      <c r="F5" s="162" t="str">
        <f>"Opening Regulated Asset Base for "&amp;CONCATENATE(LEFT(X7, 4)-1 &amp;"-" &amp;IF(X7&gt;"2009-10",,"0") &amp;RIGHT(X7,2)-1) &amp;" ($m Nominal)"</f>
        <v>Opening Regulated Asset Base for 2010-010 ($m Nominal)</v>
      </c>
      <c r="G5" s="162"/>
      <c r="H5" s="162"/>
      <c r="I5" s="162"/>
      <c r="J5" s="75"/>
      <c r="K5" s="76"/>
      <c r="L5" s="75"/>
      <c r="M5" s="76"/>
      <c r="N5" s="75"/>
      <c r="O5" s="75"/>
      <c r="P5" s="75"/>
      <c r="Q5" s="75"/>
      <c r="R5" s="75"/>
      <c r="S5" s="75"/>
      <c r="T5" s="75"/>
      <c r="U5" s="75"/>
      <c r="V5" s="75"/>
      <c r="W5" s="75"/>
      <c r="X5" s="76"/>
      <c r="Y5" s="76"/>
      <c r="Z5" s="8"/>
      <c r="AA5" s="415" t="s">
        <v>195</v>
      </c>
      <c r="AB5" s="416"/>
      <c r="AC5" s="416"/>
      <c r="AD5" s="417"/>
      <c r="AE5" s="418"/>
      <c r="AF5" s="418"/>
      <c r="AG5" s="418"/>
      <c r="AH5" s="418"/>
      <c r="AI5" s="418"/>
      <c r="AJ5" s="418"/>
      <c r="AK5" s="189"/>
      <c r="AL5" s="189"/>
      <c r="AM5" s="189"/>
      <c r="AN5" s="189"/>
      <c r="AO5" s="189"/>
      <c r="AP5" s="189"/>
      <c r="AQ5" s="189"/>
      <c r="AR5" s="189"/>
      <c r="AS5" s="189"/>
      <c r="AT5" s="189"/>
      <c r="AU5" s="189"/>
      <c r="AV5" s="189"/>
      <c r="AW5" s="189"/>
    </row>
    <row r="6" spans="1:49" ht="102">
      <c r="A6" s="12"/>
      <c r="B6" s="12"/>
      <c r="C6" s="12"/>
      <c r="D6" s="12"/>
      <c r="E6" s="12"/>
      <c r="F6" s="39"/>
      <c r="G6" s="529" t="s">
        <v>87</v>
      </c>
      <c r="H6" s="529"/>
      <c r="I6" s="529"/>
      <c r="J6" s="11" t="s">
        <v>2</v>
      </c>
      <c r="K6" s="10" t="s">
        <v>3</v>
      </c>
      <c r="L6" s="10" t="s">
        <v>4</v>
      </c>
      <c r="M6" s="10" t="s">
        <v>80</v>
      </c>
      <c r="N6" s="10" t="s">
        <v>74</v>
      </c>
      <c r="O6" s="10" t="s">
        <v>50</v>
      </c>
      <c r="P6" s="10" t="s">
        <v>64</v>
      </c>
      <c r="Q6" s="10" t="s">
        <v>51</v>
      </c>
      <c r="R6" s="10" t="s">
        <v>52</v>
      </c>
      <c r="S6" s="10" t="s">
        <v>116</v>
      </c>
      <c r="T6" s="10" t="s">
        <v>117</v>
      </c>
      <c r="U6" s="10" t="s">
        <v>66</v>
      </c>
      <c r="V6" s="10" t="s">
        <v>67</v>
      </c>
      <c r="W6" s="10" t="s">
        <v>68</v>
      </c>
      <c r="X6" s="10" t="s">
        <v>23</v>
      </c>
      <c r="Y6" s="303" t="s">
        <v>115</v>
      </c>
      <c r="Z6" s="8"/>
      <c r="AA6" s="418"/>
      <c r="AB6" s="419" t="s">
        <v>46</v>
      </c>
      <c r="AC6" s="420" t="s">
        <v>36</v>
      </c>
      <c r="AD6" s="420" t="s">
        <v>196</v>
      </c>
      <c r="AE6" s="420" t="s">
        <v>197</v>
      </c>
      <c r="AF6" s="420" t="s">
        <v>47</v>
      </c>
      <c r="AG6" s="420" t="s">
        <v>49</v>
      </c>
      <c r="AH6" s="420" t="s">
        <v>38</v>
      </c>
      <c r="AI6" s="420" t="s">
        <v>59</v>
      </c>
      <c r="AJ6" s="420" t="s">
        <v>48</v>
      </c>
      <c r="AK6" s="189"/>
      <c r="AL6" s="189"/>
      <c r="AM6" s="189"/>
      <c r="AN6" s="189"/>
      <c r="AO6" s="189"/>
      <c r="AP6" s="189"/>
      <c r="AQ6" s="189"/>
      <c r="AR6" s="189"/>
      <c r="AS6" s="189"/>
      <c r="AT6" s="189"/>
      <c r="AU6" s="189"/>
      <c r="AV6" s="189"/>
      <c r="AW6" s="189"/>
    </row>
    <row r="7" spans="1:49">
      <c r="A7" s="12"/>
      <c r="B7" s="12"/>
      <c r="C7" s="12"/>
      <c r="D7" s="12"/>
      <c r="E7" s="12"/>
      <c r="F7" s="40" t="s">
        <v>0</v>
      </c>
      <c r="G7" s="534" t="s">
        <v>138</v>
      </c>
      <c r="H7" s="535"/>
      <c r="I7" s="535"/>
      <c r="J7" s="432">
        <f>(AB7+AH7+AI7)</f>
        <v>139.12392628058146</v>
      </c>
      <c r="K7" s="520">
        <v>23.314816947895022</v>
      </c>
      <c r="L7" s="289">
        <v>50</v>
      </c>
      <c r="M7" s="434">
        <f>AC7</f>
        <v>21.188638065017898</v>
      </c>
      <c r="N7" s="435">
        <f>-AD7</f>
        <v>8.560933643561853</v>
      </c>
      <c r="O7" s="62"/>
      <c r="P7" s="62"/>
      <c r="Q7" s="62"/>
      <c r="R7" s="62"/>
      <c r="S7" s="304" t="s">
        <v>119</v>
      </c>
      <c r="T7" s="305"/>
      <c r="U7" s="306"/>
      <c r="V7" s="244"/>
      <c r="W7" s="245"/>
      <c r="X7" s="131">
        <v>2011</v>
      </c>
      <c r="Y7" s="245">
        <v>5</v>
      </c>
      <c r="Z7" s="8"/>
      <c r="AA7" s="418" t="s">
        <v>138</v>
      </c>
      <c r="AB7" s="421">
        <v>147.868078304965</v>
      </c>
      <c r="AC7" s="422">
        <v>21.188638065017898</v>
      </c>
      <c r="AD7" s="421">
        <v>-8.560933643561853</v>
      </c>
      <c r="AE7" s="421">
        <v>-10.425936432993826</v>
      </c>
      <c r="AF7" s="421">
        <v>1.8650027894319718</v>
      </c>
      <c r="AG7" s="421">
        <v>160.49578272642106</v>
      </c>
      <c r="AH7" s="422">
        <v>-5.6616723869410723</v>
      </c>
      <c r="AI7" s="421">
        <v>-3.0824796374424754</v>
      </c>
      <c r="AJ7" s="421">
        <v>151.75163070203752</v>
      </c>
      <c r="AK7" s="189"/>
      <c r="AL7" s="189"/>
      <c r="AM7" s="189"/>
      <c r="AN7" s="189"/>
      <c r="AO7" s="189"/>
      <c r="AP7" s="189"/>
      <c r="AQ7" s="189"/>
      <c r="AR7" s="189"/>
      <c r="AS7" s="189"/>
      <c r="AT7" s="189"/>
      <c r="AU7" s="189"/>
      <c r="AV7" s="189"/>
      <c r="AW7" s="189"/>
    </row>
    <row r="8" spans="1:49">
      <c r="A8" s="12"/>
      <c r="B8" s="12"/>
      <c r="C8" s="12"/>
      <c r="D8" s="12"/>
      <c r="E8" s="12"/>
      <c r="F8" s="40" t="s">
        <v>1</v>
      </c>
      <c r="G8" s="530" t="s">
        <v>139</v>
      </c>
      <c r="H8" s="531"/>
      <c r="I8" s="531"/>
      <c r="J8" s="433">
        <f t="shared" ref="J8:J13" si="0">(AB8+AH8+AI8)</f>
        <v>998.98563357996591</v>
      </c>
      <c r="K8" s="521">
        <v>21.558463738876096</v>
      </c>
      <c r="L8" s="290">
        <v>49</v>
      </c>
      <c r="M8" s="436">
        <f t="shared" ref="M8:M13" si="1">AC8</f>
        <v>94.705826815053854</v>
      </c>
      <c r="N8" s="437">
        <f t="shared" ref="N8:N13" si="2">-AD8</f>
        <v>30.506557915818007</v>
      </c>
      <c r="O8" s="63"/>
      <c r="P8" s="63"/>
      <c r="Q8" s="63"/>
      <c r="R8" s="63"/>
      <c r="S8" s="307" t="s">
        <v>120</v>
      </c>
      <c r="T8" s="308">
        <v>0</v>
      </c>
      <c r="U8" s="309">
        <v>34.523225351264784</v>
      </c>
      <c r="V8" s="246"/>
      <c r="W8" s="247"/>
      <c r="X8" s="8"/>
      <c r="Y8" s="8"/>
      <c r="Z8" s="8"/>
      <c r="AA8" s="418" t="s">
        <v>139</v>
      </c>
      <c r="AB8" s="421">
        <v>994.82732415294413</v>
      </c>
      <c r="AC8" s="422">
        <v>94.705826815053854</v>
      </c>
      <c r="AD8" s="421">
        <v>-30.506557915818007</v>
      </c>
      <c r="AE8" s="421">
        <v>-43.053929571800957</v>
      </c>
      <c r="AF8" s="421">
        <v>12.547371655982952</v>
      </c>
      <c r="AG8" s="421">
        <v>1059.02659305218</v>
      </c>
      <c r="AH8" s="422">
        <v>2.6924263889368305</v>
      </c>
      <c r="AI8" s="421">
        <v>1.4658830380848982</v>
      </c>
      <c r="AJ8" s="421">
        <v>1063.1849024792018</v>
      </c>
      <c r="AK8" s="189"/>
      <c r="AL8" s="189"/>
      <c r="AM8" s="189"/>
      <c r="AN8" s="189"/>
      <c r="AO8" s="189"/>
      <c r="AP8" s="189"/>
      <c r="AQ8" s="189"/>
      <c r="AR8" s="189"/>
      <c r="AS8" s="189"/>
      <c r="AT8" s="189"/>
      <c r="AU8" s="189"/>
      <c r="AV8" s="189"/>
      <c r="AW8" s="189"/>
    </row>
    <row r="9" spans="1:49">
      <c r="A9" s="12"/>
      <c r="B9" s="12"/>
      <c r="C9" s="12"/>
      <c r="D9" s="12"/>
      <c r="E9" s="12"/>
      <c r="F9" s="40" t="s">
        <v>6</v>
      </c>
      <c r="G9" s="530" t="s">
        <v>140</v>
      </c>
      <c r="H9" s="531"/>
      <c r="I9" s="531"/>
      <c r="J9" s="433">
        <f t="shared" si="0"/>
        <v>37.645963317471988</v>
      </c>
      <c r="K9" s="521">
        <v>6.0609571852169655</v>
      </c>
      <c r="L9" s="290" t="s">
        <v>118</v>
      </c>
      <c r="M9" s="436">
        <f t="shared" si="1"/>
        <v>0</v>
      </c>
      <c r="N9" s="437">
        <f t="shared" si="2"/>
        <v>3.1558842313843654</v>
      </c>
      <c r="O9" s="63"/>
      <c r="P9" s="63"/>
      <c r="Q9" s="63"/>
      <c r="R9" s="63"/>
      <c r="S9" s="307" t="s">
        <v>121</v>
      </c>
      <c r="T9" s="308">
        <v>0.3</v>
      </c>
      <c r="U9" s="309">
        <v>0</v>
      </c>
      <c r="V9" s="246"/>
      <c r="W9" s="247"/>
      <c r="X9" s="8"/>
      <c r="Y9" s="8"/>
      <c r="Z9" s="8"/>
      <c r="AA9" s="418" t="s">
        <v>140</v>
      </c>
      <c r="AB9" s="421">
        <v>36.502074977711757</v>
      </c>
      <c r="AC9" s="422">
        <v>0</v>
      </c>
      <c r="AD9" s="421">
        <v>-3.1558842313843654</v>
      </c>
      <c r="AE9" s="421">
        <v>-3.616270762634779</v>
      </c>
      <c r="AF9" s="421">
        <v>0.46038653125041384</v>
      </c>
      <c r="AG9" s="421">
        <v>33.346190746327395</v>
      </c>
      <c r="AH9" s="422">
        <v>0.74064597789525988</v>
      </c>
      <c r="AI9" s="421">
        <v>0.40324236186497148</v>
      </c>
      <c r="AJ9" s="421">
        <v>34.490079086087626</v>
      </c>
      <c r="AK9" s="189"/>
      <c r="AL9" s="189"/>
      <c r="AM9" s="189"/>
      <c r="AN9" s="189"/>
      <c r="AO9" s="189"/>
      <c r="AP9" s="189"/>
      <c r="AQ9" s="189"/>
      <c r="AR9" s="189"/>
      <c r="AS9" s="189"/>
      <c r="AT9" s="189"/>
      <c r="AU9" s="189"/>
      <c r="AV9" s="189"/>
      <c r="AW9" s="189"/>
    </row>
    <row r="10" spans="1:49">
      <c r="A10" s="12"/>
      <c r="B10" s="12"/>
      <c r="C10" s="12"/>
      <c r="D10" s="12"/>
      <c r="E10" s="12"/>
      <c r="F10" s="40" t="s">
        <v>7</v>
      </c>
      <c r="G10" s="530" t="s">
        <v>141</v>
      </c>
      <c r="H10" s="531"/>
      <c r="I10" s="531"/>
      <c r="J10" s="433">
        <f t="shared" si="0"/>
        <v>10.597982772220602</v>
      </c>
      <c r="K10" s="521">
        <v>13.265217522060578</v>
      </c>
      <c r="L10" s="290" t="s">
        <v>118</v>
      </c>
      <c r="M10" s="436">
        <f t="shared" si="1"/>
        <v>0</v>
      </c>
      <c r="N10" s="437">
        <f t="shared" si="2"/>
        <v>0.45422246060488719</v>
      </c>
      <c r="O10" s="63"/>
      <c r="P10" s="63"/>
      <c r="Q10" s="63"/>
      <c r="R10" s="63"/>
      <c r="S10" s="307" t="s">
        <v>122</v>
      </c>
      <c r="T10" s="308">
        <v>0.25</v>
      </c>
      <c r="U10" s="309">
        <v>1.0784058225727597</v>
      </c>
      <c r="V10" s="246"/>
      <c r="W10" s="247"/>
      <c r="X10" s="8"/>
      <c r="Y10" s="8"/>
      <c r="Z10" s="8"/>
      <c r="AA10" s="418" t="s">
        <v>141</v>
      </c>
      <c r="AB10" s="421">
        <v>10.597982772220602</v>
      </c>
      <c r="AC10" s="422">
        <v>0</v>
      </c>
      <c r="AD10" s="421">
        <v>-0.45422246060488719</v>
      </c>
      <c r="AE10" s="421">
        <v>-0.58789071178604657</v>
      </c>
      <c r="AF10" s="421">
        <v>0.13366825118115938</v>
      </c>
      <c r="AG10" s="421">
        <v>10.143760311615715</v>
      </c>
      <c r="AH10" s="422">
        <v>0</v>
      </c>
      <c r="AI10" s="421">
        <v>0</v>
      </c>
      <c r="AJ10" s="421">
        <v>10.143760311615715</v>
      </c>
      <c r="AK10" s="189"/>
      <c r="AL10" s="189"/>
      <c r="AM10" s="189"/>
      <c r="AN10" s="189"/>
      <c r="AO10" s="189"/>
      <c r="AP10" s="189"/>
      <c r="AQ10" s="189"/>
      <c r="AR10" s="189"/>
      <c r="AS10" s="189"/>
      <c r="AT10" s="189"/>
      <c r="AU10" s="189"/>
      <c r="AV10" s="189"/>
      <c r="AW10" s="189"/>
    </row>
    <row r="11" spans="1:49">
      <c r="A11" s="12"/>
      <c r="B11" s="12"/>
      <c r="C11" s="12"/>
      <c r="D11" s="12"/>
      <c r="E11" s="12"/>
      <c r="F11" s="40" t="s">
        <v>8</v>
      </c>
      <c r="G11" s="530" t="s">
        <v>133</v>
      </c>
      <c r="H11" s="531"/>
      <c r="I11" s="531"/>
      <c r="J11" s="433">
        <f t="shared" si="0"/>
        <v>15.143111066512242</v>
      </c>
      <c r="K11" s="521">
        <v>7.6571160185337481</v>
      </c>
      <c r="L11" s="290">
        <v>13</v>
      </c>
      <c r="M11" s="436">
        <f t="shared" si="1"/>
        <v>2.653848514099213</v>
      </c>
      <c r="N11" s="437">
        <f t="shared" si="2"/>
        <v>2.166063639665591</v>
      </c>
      <c r="O11" s="63"/>
      <c r="P11" s="63"/>
      <c r="Q11" s="63"/>
      <c r="R11" s="63"/>
      <c r="S11" s="307" t="s">
        <v>123</v>
      </c>
      <c r="T11" s="308">
        <v>0.2</v>
      </c>
      <c r="U11" s="309">
        <v>1.306811033109994</v>
      </c>
      <c r="V11" s="246"/>
      <c r="W11" s="247"/>
      <c r="X11" s="8"/>
      <c r="Y11" s="8"/>
      <c r="Z11" s="8"/>
      <c r="AA11" s="418" t="s">
        <v>133</v>
      </c>
      <c r="AB11" s="421">
        <v>13.750737569884171</v>
      </c>
      <c r="AC11" s="422">
        <v>2.653848514099213</v>
      </c>
      <c r="AD11" s="421">
        <v>-2.166063639665591</v>
      </c>
      <c r="AE11" s="421">
        <v>-2.3394963657722365</v>
      </c>
      <c r="AF11" s="421">
        <v>0.17343272610664542</v>
      </c>
      <c r="AG11" s="421">
        <v>14.238522444317791</v>
      </c>
      <c r="AH11" s="422">
        <v>0.90153539830793306</v>
      </c>
      <c r="AI11" s="421">
        <v>0.49083809832013858</v>
      </c>
      <c r="AJ11" s="421">
        <v>15.630895940945862</v>
      </c>
      <c r="AK11" s="189"/>
      <c r="AL11" s="189"/>
      <c r="AM11" s="189"/>
      <c r="AN11" s="189"/>
      <c r="AO11" s="189"/>
      <c r="AP11" s="189"/>
      <c r="AQ11" s="189"/>
      <c r="AR11" s="189"/>
      <c r="AS11" s="189"/>
      <c r="AT11" s="189"/>
      <c r="AU11" s="189"/>
      <c r="AV11" s="189"/>
      <c r="AW11" s="189"/>
    </row>
    <row r="12" spans="1:49">
      <c r="A12" s="12"/>
      <c r="B12" s="12"/>
      <c r="C12" s="12"/>
      <c r="D12" s="12"/>
      <c r="E12" s="12"/>
      <c r="F12" s="40" t="s">
        <v>9</v>
      </c>
      <c r="G12" s="530" t="s">
        <v>134</v>
      </c>
      <c r="H12" s="531"/>
      <c r="I12" s="531"/>
      <c r="J12" s="433">
        <f t="shared" si="0"/>
        <v>5.5938828180837197</v>
      </c>
      <c r="K12" s="521">
        <v>5.175562494714792</v>
      </c>
      <c r="L12" s="290">
        <v>6</v>
      </c>
      <c r="M12" s="436">
        <f t="shared" si="1"/>
        <v>4.9837282671718182</v>
      </c>
      <c r="N12" s="437">
        <f t="shared" si="2"/>
        <v>10.503194478149721</v>
      </c>
      <c r="O12" s="63"/>
      <c r="P12" s="63"/>
      <c r="Q12" s="63"/>
      <c r="R12" s="63"/>
      <c r="S12" s="307" t="s">
        <v>124</v>
      </c>
      <c r="T12" s="308">
        <v>0.1</v>
      </c>
      <c r="U12" s="309">
        <v>122.74843206341653</v>
      </c>
      <c r="V12" s="246"/>
      <c r="W12" s="247"/>
      <c r="X12" s="8"/>
      <c r="Y12" s="8"/>
      <c r="Z12" s="8"/>
      <c r="AA12" s="418" t="s">
        <v>134</v>
      </c>
      <c r="AB12" s="421">
        <v>3.8534051345206315</v>
      </c>
      <c r="AC12" s="422">
        <v>4.9837282671718182</v>
      </c>
      <c r="AD12" s="421">
        <v>-10.503194478149721</v>
      </c>
      <c r="AE12" s="421">
        <v>-10.551795984350882</v>
      </c>
      <c r="AF12" s="421">
        <v>4.8601506201160619E-2</v>
      </c>
      <c r="AG12" s="421">
        <v>-1.6660610764572716</v>
      </c>
      <c r="AH12" s="422">
        <v>1.1269262489533389</v>
      </c>
      <c r="AI12" s="421">
        <v>0.61355143460974915</v>
      </c>
      <c r="AJ12" s="421">
        <v>7.4416607105816435E-2</v>
      </c>
      <c r="AK12" s="189"/>
      <c r="AL12" s="189"/>
      <c r="AM12" s="189"/>
      <c r="AN12" s="189"/>
      <c r="AO12" s="189"/>
      <c r="AP12" s="189"/>
      <c r="AQ12" s="189"/>
      <c r="AR12" s="189"/>
      <c r="AS12" s="189"/>
      <c r="AT12" s="189"/>
      <c r="AU12" s="189"/>
      <c r="AV12" s="189"/>
      <c r="AW12" s="189"/>
    </row>
    <row r="13" spans="1:49">
      <c r="A13" s="12"/>
      <c r="B13" s="12"/>
      <c r="C13" s="12"/>
      <c r="D13" s="12"/>
      <c r="E13" s="12"/>
      <c r="F13" s="40" t="s">
        <v>10</v>
      </c>
      <c r="G13" s="530" t="s">
        <v>135</v>
      </c>
      <c r="H13" s="531"/>
      <c r="I13" s="531"/>
      <c r="J13" s="433">
        <f t="shared" si="0"/>
        <v>11.062395462420282</v>
      </c>
      <c r="K13" s="521">
        <v>6.5683580337595595</v>
      </c>
      <c r="L13" s="290">
        <v>10</v>
      </c>
      <c r="M13" s="436">
        <f t="shared" si="1"/>
        <v>2.2315960686827254</v>
      </c>
      <c r="N13" s="437">
        <f t="shared" si="2"/>
        <v>1.3194859940993175</v>
      </c>
      <c r="O13" s="63"/>
      <c r="P13" s="63"/>
      <c r="Q13" s="63"/>
      <c r="R13" s="63"/>
      <c r="S13" s="307"/>
      <c r="T13" s="308"/>
      <c r="U13" s="309"/>
      <c r="V13" s="246"/>
      <c r="W13" s="247"/>
      <c r="X13" s="8"/>
      <c r="Y13" s="8"/>
      <c r="Z13" s="8"/>
      <c r="AA13" s="418" t="s">
        <v>135</v>
      </c>
      <c r="AB13" s="421">
        <v>9.2250609748961843</v>
      </c>
      <c r="AC13" s="422">
        <v>2.2315960686827254</v>
      </c>
      <c r="AD13" s="421">
        <v>-1.3194859940993175</v>
      </c>
      <c r="AE13" s="421">
        <v>-1.4358381145034125</v>
      </c>
      <c r="AF13" s="421">
        <v>0.11635212040409483</v>
      </c>
      <c r="AG13" s="421">
        <v>10.137171049479592</v>
      </c>
      <c r="AH13" s="422">
        <v>1.1896391902361811</v>
      </c>
      <c r="AI13" s="421">
        <v>0.64769529728791631</v>
      </c>
      <c r="AJ13" s="421">
        <v>11.974505537003688</v>
      </c>
      <c r="AK13" s="189"/>
      <c r="AL13" s="189"/>
      <c r="AM13" s="189"/>
      <c r="AN13" s="189"/>
      <c r="AO13" s="189"/>
      <c r="AP13" s="189"/>
      <c r="AQ13" s="189"/>
      <c r="AR13" s="189"/>
      <c r="AS13" s="189"/>
      <c r="AT13" s="189"/>
      <c r="AU13" s="189"/>
      <c r="AV13" s="189"/>
      <c r="AW13" s="189"/>
    </row>
    <row r="14" spans="1:49">
      <c r="A14" s="12"/>
      <c r="B14" s="12"/>
      <c r="C14" s="12"/>
      <c r="D14" s="12"/>
      <c r="E14" s="12"/>
      <c r="F14" s="40" t="s">
        <v>11</v>
      </c>
      <c r="G14" s="532" t="s">
        <v>143</v>
      </c>
      <c r="H14" s="533"/>
      <c r="I14" s="533"/>
      <c r="J14" s="300"/>
      <c r="K14" s="521" t="s">
        <v>118</v>
      </c>
      <c r="L14" s="290">
        <f>A2remlife</f>
        <v>21.558463738876096</v>
      </c>
      <c r="M14" s="63"/>
      <c r="N14" s="63"/>
      <c r="O14" s="63"/>
      <c r="P14" s="63"/>
      <c r="Q14" s="63"/>
      <c r="R14" s="63"/>
      <c r="S14" s="310" t="s">
        <v>125</v>
      </c>
      <c r="T14" s="308"/>
      <c r="U14" s="309"/>
      <c r="V14" s="246"/>
      <c r="W14" s="246"/>
      <c r="X14" s="8"/>
      <c r="Y14" s="8"/>
      <c r="Z14" s="8"/>
      <c r="AA14" s="423" t="s">
        <v>22</v>
      </c>
      <c r="AB14" s="424">
        <v>1216.6246638871426</v>
      </c>
      <c r="AC14" s="425">
        <v>125.76363773002549</v>
      </c>
      <c r="AD14" s="424">
        <v>-56.666342363283739</v>
      </c>
      <c r="AE14" s="424">
        <v>-72.011157943842136</v>
      </c>
      <c r="AF14" s="424">
        <v>15.344815580558397</v>
      </c>
      <c r="AG14" s="424">
        <v>1285.7219592538845</v>
      </c>
      <c r="AH14" s="425">
        <v>0.98950081738847095</v>
      </c>
      <c r="AI14" s="424">
        <v>0.53873059272519819</v>
      </c>
      <c r="AJ14" s="424">
        <v>1287.2501906639984</v>
      </c>
      <c r="AK14" s="189"/>
      <c r="AL14" s="189"/>
      <c r="AM14" s="189"/>
      <c r="AN14" s="189"/>
      <c r="AO14" s="189"/>
      <c r="AP14" s="189"/>
      <c r="AQ14" s="189"/>
      <c r="AR14" s="189"/>
      <c r="AS14" s="189"/>
      <c r="AT14" s="189"/>
      <c r="AU14" s="189"/>
      <c r="AV14" s="189"/>
      <c r="AW14" s="189"/>
    </row>
    <row r="15" spans="1:49">
      <c r="A15" s="12"/>
      <c r="B15" s="12"/>
      <c r="C15" s="12"/>
      <c r="D15" s="12"/>
      <c r="E15" s="12"/>
      <c r="F15" s="40" t="s">
        <v>12</v>
      </c>
      <c r="G15" s="530" t="s">
        <v>144</v>
      </c>
      <c r="H15" s="531"/>
      <c r="I15" s="531"/>
      <c r="J15" s="64"/>
      <c r="K15" s="521" t="s">
        <v>118</v>
      </c>
      <c r="L15" s="290">
        <v>46.616450627888028</v>
      </c>
      <c r="M15" s="63"/>
      <c r="N15" s="63"/>
      <c r="O15" s="63"/>
      <c r="P15" s="63"/>
      <c r="Q15" s="63"/>
      <c r="R15" s="63"/>
      <c r="S15" s="307" t="s">
        <v>126</v>
      </c>
      <c r="T15" s="308">
        <v>0.03</v>
      </c>
      <c r="U15" s="309">
        <v>229.79613338020198</v>
      </c>
      <c r="V15" s="248"/>
      <c r="W15" s="248"/>
      <c r="X15" s="8"/>
      <c r="Y15" s="8"/>
      <c r="Z15" s="8"/>
      <c r="AA15" s="8"/>
      <c r="AB15" s="9"/>
      <c r="AC15" s="9"/>
      <c r="AD15" s="9"/>
      <c r="AE15" s="9"/>
      <c r="AF15" s="9"/>
      <c r="AG15" s="189"/>
      <c r="AH15" s="189"/>
      <c r="AI15" s="189"/>
      <c r="AJ15" s="189"/>
      <c r="AK15" s="189"/>
      <c r="AL15" s="189"/>
      <c r="AM15" s="189"/>
      <c r="AN15" s="189"/>
      <c r="AO15" s="189"/>
      <c r="AP15" s="189"/>
      <c r="AQ15" s="189"/>
      <c r="AR15" s="189"/>
      <c r="AS15" s="189"/>
      <c r="AT15" s="189"/>
      <c r="AU15" s="189"/>
      <c r="AV15" s="189"/>
      <c r="AW15" s="189"/>
    </row>
    <row r="16" spans="1:49">
      <c r="A16" s="12"/>
      <c r="B16" s="12"/>
      <c r="C16" s="12"/>
      <c r="D16" s="12"/>
      <c r="E16" s="12"/>
      <c r="F16" s="40" t="s">
        <v>13</v>
      </c>
      <c r="G16" s="530"/>
      <c r="H16" s="531"/>
      <c r="I16" s="531"/>
      <c r="J16" s="64"/>
      <c r="K16" s="521" t="s">
        <v>118</v>
      </c>
      <c r="L16" s="246" t="s">
        <v>118</v>
      </c>
      <c r="M16" s="247"/>
      <c r="N16" s="63"/>
      <c r="O16" s="63"/>
      <c r="P16" s="63"/>
      <c r="Q16" s="63"/>
      <c r="R16" s="63"/>
      <c r="S16" s="307" t="s">
        <v>127</v>
      </c>
      <c r="T16" s="308">
        <v>1</v>
      </c>
      <c r="U16" s="309">
        <v>0</v>
      </c>
      <c r="V16" s="248"/>
      <c r="W16" s="248"/>
      <c r="X16" s="8"/>
      <c r="Y16" s="8"/>
      <c r="Z16" s="8"/>
      <c r="AA16" s="8"/>
      <c r="AB16" s="9"/>
      <c r="AC16" s="9"/>
      <c r="AD16" s="9"/>
      <c r="AE16" s="9"/>
      <c r="AF16" s="9"/>
      <c r="AG16" s="189"/>
      <c r="AH16" s="189"/>
      <c r="AI16" s="189"/>
      <c r="AJ16" s="189"/>
      <c r="AK16" s="189"/>
      <c r="AL16" s="189"/>
      <c r="AM16" s="189"/>
      <c r="AN16" s="189"/>
      <c r="AO16" s="189"/>
      <c r="AP16" s="189"/>
      <c r="AQ16" s="189"/>
      <c r="AR16" s="189"/>
      <c r="AS16" s="189"/>
      <c r="AT16" s="189"/>
      <c r="AU16" s="189"/>
      <c r="AV16" s="189"/>
      <c r="AW16" s="189"/>
    </row>
    <row r="17" spans="1:49">
      <c r="A17" s="12"/>
      <c r="B17" s="12"/>
      <c r="C17" s="12"/>
      <c r="D17" s="12"/>
      <c r="E17" s="12"/>
      <c r="F17" s="40" t="s">
        <v>14</v>
      </c>
      <c r="G17" s="530"/>
      <c r="H17" s="531"/>
      <c r="I17" s="531"/>
      <c r="J17" s="64"/>
      <c r="K17" s="521" t="s">
        <v>118</v>
      </c>
      <c r="L17" s="246" t="s">
        <v>118</v>
      </c>
      <c r="M17" s="247"/>
      <c r="N17" s="63"/>
      <c r="O17" s="63"/>
      <c r="P17" s="63"/>
      <c r="Q17" s="63"/>
      <c r="R17" s="63"/>
      <c r="S17" s="307" t="s">
        <v>128</v>
      </c>
      <c r="T17" s="308">
        <v>7.4999999999999997E-2</v>
      </c>
      <c r="U17" s="309">
        <v>5.2874755813347587</v>
      </c>
      <c r="V17" s="248"/>
      <c r="W17" s="248"/>
      <c r="X17" s="8"/>
      <c r="Y17" s="8"/>
      <c r="Z17" s="8"/>
      <c r="AA17" s="8"/>
      <c r="AB17" s="9"/>
      <c r="AC17" s="9"/>
      <c r="AD17" s="9"/>
      <c r="AE17" s="9"/>
      <c r="AF17" s="9"/>
      <c r="AG17" s="189"/>
      <c r="AH17" s="189"/>
      <c r="AI17" s="189"/>
      <c r="AJ17" s="189"/>
      <c r="AK17" s="189"/>
      <c r="AL17" s="189"/>
      <c r="AM17" s="189"/>
      <c r="AN17" s="189"/>
      <c r="AO17" s="189"/>
      <c r="AP17" s="189"/>
      <c r="AQ17" s="189"/>
      <c r="AR17" s="189"/>
      <c r="AS17" s="189"/>
      <c r="AT17" s="189"/>
      <c r="AU17" s="189"/>
      <c r="AV17" s="189"/>
      <c r="AW17" s="189"/>
    </row>
    <row r="18" spans="1:49">
      <c r="A18" s="12"/>
      <c r="B18" s="12"/>
      <c r="C18" s="12"/>
      <c r="D18" s="12"/>
      <c r="E18" s="12"/>
      <c r="F18" s="40" t="s">
        <v>15</v>
      </c>
      <c r="G18" s="530"/>
      <c r="H18" s="531"/>
      <c r="I18" s="531"/>
      <c r="J18" s="64"/>
      <c r="K18" s="521" t="s">
        <v>118</v>
      </c>
      <c r="L18" s="246" t="s">
        <v>118</v>
      </c>
      <c r="M18" s="247"/>
      <c r="N18" s="63"/>
      <c r="O18" s="63"/>
      <c r="P18" s="63"/>
      <c r="Q18" s="63"/>
      <c r="R18" s="63"/>
      <c r="S18" s="307" t="s">
        <v>129</v>
      </c>
      <c r="T18" s="308">
        <v>0.03</v>
      </c>
      <c r="U18" s="309">
        <v>10.96359835086661</v>
      </c>
      <c r="V18" s="248"/>
      <c r="W18" s="248"/>
      <c r="X18" s="8"/>
      <c r="Y18" s="8"/>
      <c r="Z18" s="8"/>
      <c r="AA18" s="8"/>
      <c r="AB18" s="9"/>
      <c r="AC18" s="9"/>
      <c r="AD18" s="9"/>
      <c r="AE18" s="9"/>
      <c r="AF18" s="9"/>
      <c r="AG18" s="189"/>
      <c r="AH18" s="189"/>
      <c r="AI18" s="189"/>
      <c r="AJ18" s="189"/>
      <c r="AK18" s="189"/>
      <c r="AL18" s="189"/>
      <c r="AM18" s="189"/>
      <c r="AN18" s="189"/>
      <c r="AO18" s="189"/>
      <c r="AP18" s="189"/>
      <c r="AQ18" s="189"/>
      <c r="AR18" s="189"/>
      <c r="AS18" s="189"/>
      <c r="AT18" s="189"/>
      <c r="AU18" s="189"/>
      <c r="AV18" s="189"/>
      <c r="AW18" s="189"/>
    </row>
    <row r="19" spans="1:49">
      <c r="A19" s="12"/>
      <c r="B19" s="12"/>
      <c r="C19" s="12"/>
      <c r="D19" s="12"/>
      <c r="E19" s="12"/>
      <c r="F19" s="40" t="s">
        <v>16</v>
      </c>
      <c r="G19" s="530"/>
      <c r="H19" s="531"/>
      <c r="I19" s="531"/>
      <c r="J19" s="64"/>
      <c r="K19" s="521" t="s">
        <v>118</v>
      </c>
      <c r="L19" s="246" t="s">
        <v>118</v>
      </c>
      <c r="M19" s="247"/>
      <c r="N19" s="63"/>
      <c r="O19" s="63"/>
      <c r="P19" s="63"/>
      <c r="Q19" s="63"/>
      <c r="R19" s="63"/>
      <c r="S19" s="307" t="s">
        <v>130</v>
      </c>
      <c r="T19" s="308">
        <v>7.4999999999999997E-2</v>
      </c>
      <c r="U19" s="309">
        <v>2.8493815964865532</v>
      </c>
      <c r="V19" s="248"/>
      <c r="W19" s="248"/>
      <c r="X19" s="8"/>
      <c r="Y19" s="8"/>
      <c r="Z19" s="8"/>
      <c r="AA19" s="8"/>
      <c r="AB19" s="9"/>
      <c r="AC19" s="9"/>
      <c r="AD19" s="9"/>
      <c r="AE19" s="9"/>
      <c r="AF19" s="9"/>
      <c r="AG19" s="189"/>
      <c r="AH19" s="189"/>
      <c r="AI19" s="189"/>
      <c r="AJ19" s="189"/>
      <c r="AK19" s="189"/>
      <c r="AL19" s="189"/>
      <c r="AM19" s="189"/>
      <c r="AN19" s="189"/>
      <c r="AO19" s="189"/>
      <c r="AP19" s="189"/>
      <c r="AQ19" s="189"/>
      <c r="AR19" s="189"/>
      <c r="AS19" s="189"/>
      <c r="AT19" s="189"/>
      <c r="AU19" s="189"/>
      <c r="AV19" s="189"/>
      <c r="AW19" s="189"/>
    </row>
    <row r="20" spans="1:49">
      <c r="A20" s="12"/>
      <c r="B20" s="12"/>
      <c r="C20" s="12"/>
      <c r="D20" s="12"/>
      <c r="E20" s="12"/>
      <c r="F20" s="40" t="s">
        <v>17</v>
      </c>
      <c r="G20" s="530"/>
      <c r="H20" s="531"/>
      <c r="I20" s="531"/>
      <c r="J20" s="64"/>
      <c r="K20" s="521" t="s">
        <v>118</v>
      </c>
      <c r="L20" s="246" t="s">
        <v>118</v>
      </c>
      <c r="M20" s="247"/>
      <c r="N20" s="63"/>
      <c r="O20" s="63"/>
      <c r="P20" s="63"/>
      <c r="Q20" s="63"/>
      <c r="R20" s="63"/>
      <c r="S20" s="307" t="s">
        <v>131</v>
      </c>
      <c r="T20" s="308">
        <v>0.375</v>
      </c>
      <c r="U20" s="309">
        <v>0.40696702768464771</v>
      </c>
      <c r="V20" s="248"/>
      <c r="W20" s="248"/>
      <c r="X20" s="8"/>
      <c r="Y20" s="8"/>
      <c r="Z20" s="8"/>
      <c r="AA20" s="8"/>
      <c r="AB20" s="9"/>
      <c r="AC20" s="9"/>
      <c r="AD20" s="9"/>
      <c r="AE20" s="9"/>
      <c r="AF20" s="9"/>
      <c r="AG20" s="189"/>
      <c r="AH20" s="189"/>
      <c r="AI20" s="189"/>
      <c r="AJ20" s="189"/>
      <c r="AK20" s="189"/>
      <c r="AL20" s="189"/>
      <c r="AM20" s="189"/>
      <c r="AN20" s="189"/>
      <c r="AO20" s="189"/>
      <c r="AP20" s="189"/>
      <c r="AQ20" s="189"/>
      <c r="AR20" s="189"/>
      <c r="AS20" s="189"/>
      <c r="AT20" s="189"/>
      <c r="AU20" s="189"/>
      <c r="AV20" s="189"/>
      <c r="AW20" s="189"/>
    </row>
    <row r="21" spans="1:49">
      <c r="A21" s="12"/>
      <c r="B21" s="12"/>
      <c r="C21" s="12"/>
      <c r="D21" s="12"/>
      <c r="E21" s="12"/>
      <c r="F21" s="40" t="s">
        <v>18</v>
      </c>
      <c r="G21" s="530"/>
      <c r="H21" s="531"/>
      <c r="I21" s="531"/>
      <c r="J21" s="64"/>
      <c r="K21" s="521" t="s">
        <v>118</v>
      </c>
      <c r="L21" s="246" t="s">
        <v>118</v>
      </c>
      <c r="M21" s="247"/>
      <c r="N21" s="63"/>
      <c r="O21" s="63"/>
      <c r="P21" s="63"/>
      <c r="Q21" s="63"/>
      <c r="R21" s="63"/>
      <c r="S21" s="307" t="s">
        <v>132</v>
      </c>
      <c r="T21" s="308">
        <v>0.1</v>
      </c>
      <c r="U21" s="309">
        <v>0</v>
      </c>
      <c r="V21" s="248"/>
      <c r="W21" s="248"/>
      <c r="X21" s="8"/>
      <c r="Y21" s="8"/>
      <c r="Z21" s="8"/>
      <c r="AA21" s="8"/>
      <c r="AB21" s="9"/>
      <c r="AC21" s="9"/>
      <c r="AD21" s="9"/>
      <c r="AE21" s="9"/>
      <c r="AF21" s="9"/>
      <c r="AG21" s="189"/>
      <c r="AH21" s="189"/>
      <c r="AI21" s="189"/>
      <c r="AJ21" s="189"/>
      <c r="AK21" s="189"/>
      <c r="AL21" s="189"/>
      <c r="AM21" s="189"/>
      <c r="AN21" s="189"/>
      <c r="AO21" s="189"/>
      <c r="AP21" s="189"/>
      <c r="AQ21" s="189"/>
      <c r="AR21" s="189"/>
      <c r="AS21" s="189"/>
      <c r="AT21" s="189"/>
      <c r="AU21" s="189"/>
      <c r="AV21" s="189"/>
      <c r="AW21" s="189"/>
    </row>
    <row r="22" spans="1:49">
      <c r="A22" s="12"/>
      <c r="B22" s="12"/>
      <c r="C22" s="12"/>
      <c r="D22" s="12"/>
      <c r="E22" s="12"/>
      <c r="F22" s="40" t="s">
        <v>19</v>
      </c>
      <c r="G22" s="530"/>
      <c r="H22" s="531"/>
      <c r="I22" s="531"/>
      <c r="J22" s="64"/>
      <c r="K22" s="521" t="s">
        <v>118</v>
      </c>
      <c r="L22" s="246" t="s">
        <v>118</v>
      </c>
      <c r="M22" s="247"/>
      <c r="N22" s="63"/>
      <c r="O22" s="63"/>
      <c r="P22" s="63"/>
      <c r="Q22" s="63"/>
      <c r="R22" s="63"/>
      <c r="S22" s="307" t="s">
        <v>133</v>
      </c>
      <c r="T22" s="308">
        <v>7.4999999999999997E-2</v>
      </c>
      <c r="U22" s="309">
        <v>6.2905541210582863</v>
      </c>
      <c r="V22" s="248"/>
      <c r="W22" s="248"/>
      <c r="X22" s="8"/>
      <c r="Y22" s="8"/>
      <c r="Z22" s="8"/>
      <c r="AA22" s="8"/>
      <c r="AB22" s="9"/>
      <c r="AC22" s="9"/>
      <c r="AD22" s="9"/>
      <c r="AE22" s="9"/>
      <c r="AF22" s="9"/>
      <c r="AG22" s="189"/>
      <c r="AH22" s="189"/>
      <c r="AI22" s="189"/>
      <c r="AJ22" s="189"/>
      <c r="AK22" s="189"/>
      <c r="AL22" s="189"/>
      <c r="AM22" s="189"/>
      <c r="AN22" s="189"/>
      <c r="AO22" s="189"/>
      <c r="AP22" s="189"/>
      <c r="AQ22" s="189"/>
      <c r="AR22" s="189"/>
      <c r="AS22" s="189"/>
      <c r="AT22" s="189"/>
      <c r="AU22" s="189"/>
      <c r="AV22" s="189"/>
      <c r="AW22" s="189"/>
    </row>
    <row r="23" spans="1:49">
      <c r="A23" s="12"/>
      <c r="B23" s="12"/>
      <c r="C23" s="12"/>
      <c r="D23" s="12"/>
      <c r="E23" s="12"/>
      <c r="F23" s="40" t="s">
        <v>20</v>
      </c>
      <c r="G23" s="530"/>
      <c r="H23" s="531"/>
      <c r="I23" s="531"/>
      <c r="J23" s="64"/>
      <c r="K23" s="521" t="s">
        <v>118</v>
      </c>
      <c r="L23" s="246" t="s">
        <v>118</v>
      </c>
      <c r="M23" s="247"/>
      <c r="N23" s="63"/>
      <c r="O23" s="63"/>
      <c r="P23" s="63"/>
      <c r="Q23" s="63"/>
      <c r="R23" s="63"/>
      <c r="S23" s="307" t="s">
        <v>134</v>
      </c>
      <c r="T23" s="308">
        <v>0.4</v>
      </c>
      <c r="U23" s="309">
        <v>2.4540555676672189</v>
      </c>
      <c r="V23" s="248"/>
      <c r="W23" s="248"/>
      <c r="X23" s="8"/>
      <c r="Y23" s="8"/>
      <c r="Z23" s="8"/>
      <c r="AA23" s="8"/>
      <c r="AB23" s="9"/>
      <c r="AC23" s="9"/>
      <c r="AD23" s="9"/>
      <c r="AE23" s="9"/>
      <c r="AF23" s="9"/>
      <c r="AG23" s="189"/>
      <c r="AH23" s="189"/>
      <c r="AI23" s="189"/>
      <c r="AJ23" s="189"/>
      <c r="AK23" s="189"/>
      <c r="AL23" s="189"/>
      <c r="AM23" s="189"/>
      <c r="AN23" s="189"/>
      <c r="AO23" s="189"/>
      <c r="AP23" s="189"/>
      <c r="AQ23" s="189"/>
      <c r="AR23" s="189"/>
      <c r="AS23" s="189"/>
      <c r="AT23" s="189"/>
      <c r="AU23" s="189"/>
      <c r="AV23" s="189"/>
      <c r="AW23" s="189"/>
    </row>
    <row r="24" spans="1:49">
      <c r="A24" s="12"/>
      <c r="B24" s="12"/>
      <c r="C24" s="12"/>
      <c r="D24" s="12"/>
      <c r="E24" s="12"/>
      <c r="F24" s="40" t="s">
        <v>24</v>
      </c>
      <c r="G24" s="530"/>
      <c r="H24" s="531"/>
      <c r="I24" s="531"/>
      <c r="J24" s="64"/>
      <c r="K24" s="521" t="s">
        <v>118</v>
      </c>
      <c r="L24" s="246" t="s">
        <v>118</v>
      </c>
      <c r="M24" s="247"/>
      <c r="N24" s="63"/>
      <c r="O24" s="63"/>
      <c r="P24" s="63"/>
      <c r="Q24" s="63"/>
      <c r="R24" s="63"/>
      <c r="S24" s="307" t="s">
        <v>135</v>
      </c>
      <c r="T24" s="308">
        <v>0.1764705882352941</v>
      </c>
      <c r="U24" s="309">
        <v>4.42556723259165</v>
      </c>
      <c r="V24" s="248"/>
      <c r="W24" s="248"/>
      <c r="X24" s="8"/>
      <c r="Y24" s="8"/>
      <c r="Z24" s="8"/>
      <c r="AA24" s="8"/>
      <c r="AB24" s="9"/>
      <c r="AC24" s="9"/>
      <c r="AD24" s="9"/>
      <c r="AE24" s="9"/>
      <c r="AF24" s="9"/>
      <c r="AG24" s="189"/>
      <c r="AH24" s="189"/>
      <c r="AI24" s="189"/>
      <c r="AJ24" s="189"/>
      <c r="AK24" s="189"/>
      <c r="AL24" s="189"/>
      <c r="AM24" s="189"/>
      <c r="AN24" s="189"/>
      <c r="AO24" s="189"/>
      <c r="AP24" s="189"/>
      <c r="AQ24" s="189"/>
      <c r="AR24" s="189"/>
      <c r="AS24" s="189"/>
      <c r="AT24" s="189"/>
      <c r="AU24" s="189"/>
      <c r="AV24" s="189"/>
      <c r="AW24" s="189"/>
    </row>
    <row r="25" spans="1:49">
      <c r="A25" s="12"/>
      <c r="B25" s="12"/>
      <c r="C25" s="12"/>
      <c r="D25" s="12"/>
      <c r="E25" s="12"/>
      <c r="F25" s="40" t="s">
        <v>25</v>
      </c>
      <c r="G25" s="530"/>
      <c r="H25" s="531"/>
      <c r="I25" s="531"/>
      <c r="J25" s="64"/>
      <c r="K25" s="521" t="s">
        <v>118</v>
      </c>
      <c r="L25" s="246" t="s">
        <v>118</v>
      </c>
      <c r="M25" s="247"/>
      <c r="N25" s="63"/>
      <c r="O25" s="63"/>
      <c r="P25" s="63"/>
      <c r="Q25" s="63"/>
      <c r="R25" s="63"/>
      <c r="S25" s="307"/>
      <c r="T25" s="308"/>
      <c r="U25" s="311"/>
      <c r="V25" s="248"/>
      <c r="W25" s="248"/>
      <c r="X25" s="8"/>
      <c r="Y25" s="8"/>
      <c r="Z25" s="8"/>
      <c r="AA25" s="8"/>
      <c r="AB25" s="9"/>
      <c r="AC25" s="9"/>
      <c r="AD25" s="9"/>
      <c r="AE25" s="9"/>
      <c r="AF25" s="9"/>
      <c r="AG25" s="189"/>
      <c r="AH25" s="189"/>
      <c r="AI25" s="189"/>
      <c r="AJ25" s="189"/>
      <c r="AK25" s="189"/>
      <c r="AL25" s="189"/>
      <c r="AM25" s="189"/>
      <c r="AN25" s="189"/>
      <c r="AO25" s="189"/>
      <c r="AP25" s="189"/>
      <c r="AQ25" s="189"/>
      <c r="AR25" s="189"/>
      <c r="AS25" s="189"/>
      <c r="AT25" s="189"/>
      <c r="AU25" s="189"/>
      <c r="AV25" s="189"/>
      <c r="AW25" s="189"/>
    </row>
    <row r="26" spans="1:49">
      <c r="A26" s="12"/>
      <c r="B26" s="12"/>
      <c r="C26" s="12"/>
      <c r="D26" s="12"/>
      <c r="E26" s="12"/>
      <c r="F26" s="40" t="s">
        <v>26</v>
      </c>
      <c r="G26" s="530"/>
      <c r="H26" s="531"/>
      <c r="I26" s="531"/>
      <c r="J26" s="64"/>
      <c r="K26" s="521" t="s">
        <v>118</v>
      </c>
      <c r="L26" s="246" t="s">
        <v>118</v>
      </c>
      <c r="M26" s="64"/>
      <c r="N26" s="64"/>
      <c r="O26" s="64"/>
      <c r="P26" s="64"/>
      <c r="Q26" s="64"/>
      <c r="R26" s="64"/>
      <c r="S26" s="312" t="s">
        <v>136</v>
      </c>
      <c r="T26" s="308"/>
      <c r="U26" s="309"/>
      <c r="V26" s="64"/>
      <c r="W26" s="64"/>
      <c r="X26" s="8"/>
      <c r="Y26" s="8"/>
      <c r="Z26" s="8"/>
      <c r="AA26" s="8"/>
      <c r="AB26" s="9"/>
      <c r="AC26" s="9"/>
      <c r="AD26" s="9"/>
      <c r="AE26" s="9"/>
      <c r="AF26" s="9"/>
      <c r="AG26" s="189"/>
      <c r="AH26" s="189"/>
      <c r="AI26" s="189"/>
      <c r="AJ26" s="189"/>
      <c r="AK26" s="189"/>
      <c r="AL26" s="189"/>
      <c r="AM26" s="189"/>
      <c r="AN26" s="189"/>
      <c r="AO26" s="189"/>
      <c r="AP26" s="189"/>
      <c r="AQ26" s="189"/>
      <c r="AR26" s="189"/>
      <c r="AS26" s="189"/>
      <c r="AT26" s="189"/>
      <c r="AU26" s="189"/>
      <c r="AV26" s="189"/>
      <c r="AW26" s="189"/>
    </row>
    <row r="27" spans="1:49">
      <c r="A27" s="12"/>
      <c r="B27" s="12"/>
      <c r="C27" s="12"/>
      <c r="D27" s="12"/>
      <c r="E27" s="12"/>
      <c r="F27" s="40" t="s">
        <v>96</v>
      </c>
      <c r="G27" s="530"/>
      <c r="H27" s="531"/>
      <c r="I27" s="531"/>
      <c r="J27" s="64"/>
      <c r="K27" s="521" t="s">
        <v>118</v>
      </c>
      <c r="L27" s="246" t="s">
        <v>118</v>
      </c>
      <c r="M27" s="64"/>
      <c r="N27" s="64"/>
      <c r="O27" s="64"/>
      <c r="P27" s="64"/>
      <c r="Q27" s="64"/>
      <c r="R27" s="64"/>
      <c r="S27" s="313" t="s">
        <v>126</v>
      </c>
      <c r="T27" s="308">
        <v>0.04</v>
      </c>
      <c r="U27" s="309">
        <v>227.86920379305462</v>
      </c>
      <c r="V27" s="64"/>
      <c r="W27" s="64"/>
      <c r="X27" s="8"/>
      <c r="Y27" s="8"/>
      <c r="Z27" s="8"/>
      <c r="AA27" s="8"/>
      <c r="AB27" s="9"/>
      <c r="AC27" s="9"/>
      <c r="AD27" s="9"/>
      <c r="AE27" s="9"/>
      <c r="AF27" s="9"/>
      <c r="AG27" s="189"/>
      <c r="AH27" s="189"/>
      <c r="AI27" s="189"/>
      <c r="AJ27" s="189"/>
      <c r="AK27" s="189"/>
      <c r="AL27" s="189"/>
      <c r="AM27" s="189"/>
      <c r="AN27" s="189"/>
      <c r="AO27" s="189"/>
      <c r="AP27" s="189"/>
      <c r="AQ27" s="189"/>
      <c r="AR27" s="189"/>
      <c r="AS27" s="189"/>
      <c r="AT27" s="189"/>
      <c r="AU27" s="189"/>
      <c r="AV27" s="189"/>
      <c r="AW27" s="189"/>
    </row>
    <row r="28" spans="1:49">
      <c r="A28" s="12"/>
      <c r="B28" s="12"/>
      <c r="C28" s="12"/>
      <c r="D28" s="12"/>
      <c r="E28" s="12"/>
      <c r="F28" s="40" t="s">
        <v>97</v>
      </c>
      <c r="G28" s="530"/>
      <c r="H28" s="531"/>
      <c r="I28" s="531"/>
      <c r="J28" s="64"/>
      <c r="K28" s="521" t="s">
        <v>118</v>
      </c>
      <c r="L28" s="246" t="s">
        <v>118</v>
      </c>
      <c r="M28" s="64"/>
      <c r="N28" s="64"/>
      <c r="O28" s="64"/>
      <c r="P28" s="64"/>
      <c r="Q28" s="64"/>
      <c r="R28" s="64"/>
      <c r="S28" s="313" t="s">
        <v>127</v>
      </c>
      <c r="T28" s="308">
        <v>1</v>
      </c>
      <c r="U28" s="309">
        <v>0</v>
      </c>
      <c r="V28" s="64"/>
      <c r="W28" s="64"/>
      <c r="X28" s="8"/>
      <c r="Y28" s="8"/>
      <c r="Z28" s="8"/>
      <c r="AA28" s="8"/>
      <c r="AB28" s="9"/>
      <c r="AC28" s="9"/>
      <c r="AD28" s="9"/>
      <c r="AE28" s="9"/>
      <c r="AF28" s="9"/>
      <c r="AG28" s="189"/>
      <c r="AH28" s="189"/>
      <c r="AI28" s="189"/>
      <c r="AJ28" s="189"/>
      <c r="AK28" s="189"/>
      <c r="AL28" s="189"/>
      <c r="AM28" s="189"/>
      <c r="AN28" s="189"/>
      <c r="AO28" s="189"/>
      <c r="AP28" s="189"/>
      <c r="AQ28" s="189"/>
      <c r="AR28" s="189"/>
      <c r="AS28" s="189"/>
      <c r="AT28" s="189"/>
      <c r="AU28" s="189"/>
      <c r="AV28" s="189"/>
      <c r="AW28" s="189"/>
    </row>
    <row r="29" spans="1:49">
      <c r="A29" s="12"/>
      <c r="B29" s="12"/>
      <c r="C29" s="12"/>
      <c r="D29" s="12"/>
      <c r="E29" s="12"/>
      <c r="F29" s="40" t="s">
        <v>98</v>
      </c>
      <c r="G29" s="530"/>
      <c r="H29" s="531"/>
      <c r="I29" s="531"/>
      <c r="J29" s="64"/>
      <c r="K29" s="521" t="s">
        <v>118</v>
      </c>
      <c r="L29" s="246" t="s">
        <v>118</v>
      </c>
      <c r="M29" s="64"/>
      <c r="N29" s="64"/>
      <c r="O29" s="64"/>
      <c r="P29" s="64"/>
      <c r="Q29" s="64"/>
      <c r="R29" s="64"/>
      <c r="S29" s="313" t="s">
        <v>128</v>
      </c>
      <c r="T29" s="308">
        <v>0.1</v>
      </c>
      <c r="U29" s="309">
        <v>3.9444013301505647</v>
      </c>
      <c r="V29" s="64"/>
      <c r="W29" s="64"/>
      <c r="X29" s="8"/>
      <c r="Y29" s="8"/>
      <c r="Z29" s="8"/>
      <c r="AA29" s="8"/>
      <c r="AB29" s="9"/>
      <c r="AC29" s="9"/>
      <c r="AD29" s="9"/>
      <c r="AE29" s="9"/>
      <c r="AF29" s="9"/>
      <c r="AG29" s="189"/>
      <c r="AH29" s="189"/>
      <c r="AI29" s="189"/>
      <c r="AJ29" s="189"/>
      <c r="AK29" s="189"/>
      <c r="AL29" s="189"/>
      <c r="AM29" s="189"/>
      <c r="AN29" s="189"/>
      <c r="AO29" s="189"/>
      <c r="AP29" s="189"/>
      <c r="AQ29" s="189"/>
      <c r="AR29" s="189"/>
      <c r="AS29" s="189"/>
      <c r="AT29" s="189"/>
      <c r="AU29" s="189"/>
      <c r="AV29" s="189"/>
      <c r="AW29" s="189"/>
    </row>
    <row r="30" spans="1:49">
      <c r="A30" s="12"/>
      <c r="B30" s="12"/>
      <c r="C30" s="12"/>
      <c r="D30" s="12"/>
      <c r="E30" s="12"/>
      <c r="F30" s="40" t="s">
        <v>99</v>
      </c>
      <c r="G30" s="530"/>
      <c r="H30" s="531"/>
      <c r="I30" s="531"/>
      <c r="J30" s="64"/>
      <c r="K30" s="521" t="s">
        <v>118</v>
      </c>
      <c r="L30" s="246" t="s">
        <v>118</v>
      </c>
      <c r="M30" s="64"/>
      <c r="N30" s="64"/>
      <c r="O30" s="64"/>
      <c r="P30" s="64"/>
      <c r="Q30" s="64"/>
      <c r="R30" s="64"/>
      <c r="S30" s="313" t="s">
        <v>129</v>
      </c>
      <c r="T30" s="308">
        <v>0.04</v>
      </c>
      <c r="U30" s="309">
        <v>38.451523666585288</v>
      </c>
      <c r="V30" s="64"/>
      <c r="W30" s="64"/>
      <c r="X30" s="8"/>
      <c r="Y30" s="8"/>
      <c r="Z30" s="8"/>
      <c r="AA30" s="8"/>
      <c r="AB30" s="9"/>
      <c r="AC30" s="9"/>
      <c r="AD30" s="9"/>
      <c r="AE30" s="9"/>
      <c r="AF30" s="9"/>
      <c r="AG30" s="189"/>
      <c r="AH30" s="189"/>
      <c r="AI30" s="189"/>
      <c r="AJ30" s="189"/>
      <c r="AK30" s="189"/>
      <c r="AL30" s="189"/>
      <c r="AM30" s="189"/>
      <c r="AN30" s="189"/>
      <c r="AO30" s="189"/>
      <c r="AP30" s="189"/>
      <c r="AQ30" s="189"/>
      <c r="AR30" s="189"/>
      <c r="AS30" s="189"/>
      <c r="AT30" s="189"/>
      <c r="AU30" s="189"/>
      <c r="AV30" s="189"/>
      <c r="AW30" s="189"/>
    </row>
    <row r="31" spans="1:49">
      <c r="A31" s="12"/>
      <c r="B31" s="12"/>
      <c r="C31" s="12"/>
      <c r="D31" s="12"/>
      <c r="E31" s="12"/>
      <c r="F31" s="40" t="s">
        <v>100</v>
      </c>
      <c r="G31" s="530"/>
      <c r="H31" s="531"/>
      <c r="I31" s="531"/>
      <c r="J31" s="64"/>
      <c r="K31" s="521" t="s">
        <v>118</v>
      </c>
      <c r="L31" s="246" t="s">
        <v>118</v>
      </c>
      <c r="M31" s="64"/>
      <c r="N31" s="64"/>
      <c r="O31" s="64"/>
      <c r="P31" s="64"/>
      <c r="Q31" s="64"/>
      <c r="R31" s="64"/>
      <c r="S31" s="313" t="s">
        <v>130</v>
      </c>
      <c r="T31" s="308">
        <v>0.1</v>
      </c>
      <c r="U31" s="309">
        <v>3.5662222327335118</v>
      </c>
      <c r="V31" s="64"/>
      <c r="W31" s="64"/>
      <c r="X31" s="8"/>
      <c r="Y31" s="8"/>
      <c r="Z31" s="8"/>
      <c r="AA31" s="8"/>
      <c r="AB31" s="9"/>
      <c r="AC31" s="9"/>
      <c r="AD31" s="9"/>
      <c r="AE31" s="9"/>
      <c r="AF31" s="9"/>
      <c r="AG31" s="189"/>
      <c r="AH31" s="189"/>
      <c r="AI31" s="189"/>
      <c r="AJ31" s="189"/>
      <c r="AK31" s="189"/>
      <c r="AL31" s="189"/>
      <c r="AM31" s="189"/>
      <c r="AN31" s="189"/>
      <c r="AO31" s="189"/>
      <c r="AP31" s="189"/>
      <c r="AQ31" s="189"/>
      <c r="AR31" s="189"/>
      <c r="AS31" s="189"/>
      <c r="AT31" s="189"/>
      <c r="AU31" s="189"/>
      <c r="AV31" s="189"/>
      <c r="AW31" s="189"/>
    </row>
    <row r="32" spans="1:49">
      <c r="A32" s="12"/>
      <c r="B32" s="12"/>
      <c r="C32" s="12"/>
      <c r="D32" s="12"/>
      <c r="E32" s="12"/>
      <c r="F32" s="40" t="s">
        <v>101</v>
      </c>
      <c r="G32" s="530"/>
      <c r="H32" s="531"/>
      <c r="I32" s="531"/>
      <c r="J32" s="64"/>
      <c r="K32" s="521" t="s">
        <v>118</v>
      </c>
      <c r="L32" s="246" t="s">
        <v>118</v>
      </c>
      <c r="M32" s="64"/>
      <c r="N32" s="64"/>
      <c r="O32" s="64"/>
      <c r="P32" s="64"/>
      <c r="Q32" s="64"/>
      <c r="R32" s="64"/>
      <c r="S32" s="313" t="s">
        <v>133</v>
      </c>
      <c r="T32" s="308">
        <v>0.1</v>
      </c>
      <c r="U32" s="309">
        <v>2.436751182305581</v>
      </c>
      <c r="V32" s="64"/>
      <c r="W32" s="64"/>
      <c r="X32" s="8"/>
      <c r="Y32" s="8"/>
      <c r="Z32" s="8"/>
      <c r="AA32" s="8"/>
      <c r="AB32" s="9"/>
      <c r="AC32" s="9"/>
      <c r="AD32" s="9"/>
      <c r="AE32" s="9"/>
      <c r="AF32" s="9"/>
      <c r="AG32" s="189"/>
      <c r="AH32" s="189"/>
      <c r="AI32" s="189"/>
      <c r="AJ32" s="189"/>
      <c r="AK32" s="189"/>
      <c r="AL32" s="189"/>
      <c r="AM32" s="189"/>
      <c r="AN32" s="189"/>
      <c r="AO32" s="189"/>
      <c r="AP32" s="189"/>
      <c r="AQ32" s="189"/>
      <c r="AR32" s="189"/>
      <c r="AS32" s="189"/>
      <c r="AT32" s="189"/>
      <c r="AU32" s="189"/>
      <c r="AV32" s="189"/>
      <c r="AW32" s="189"/>
    </row>
    <row r="33" spans="1:49">
      <c r="A33" s="12"/>
      <c r="B33" s="12"/>
      <c r="C33" s="12"/>
      <c r="D33" s="12"/>
      <c r="E33" s="12"/>
      <c r="F33" s="40" t="s">
        <v>102</v>
      </c>
      <c r="G33" s="530"/>
      <c r="H33" s="531"/>
      <c r="I33" s="531"/>
      <c r="J33" s="64"/>
      <c r="K33" s="521" t="s">
        <v>118</v>
      </c>
      <c r="L33" s="246" t="s">
        <v>118</v>
      </c>
      <c r="M33" s="64"/>
      <c r="N33" s="64"/>
      <c r="O33" s="64"/>
      <c r="P33" s="64"/>
      <c r="Q33" s="64"/>
      <c r="R33" s="64"/>
      <c r="S33" s="313" t="s">
        <v>134</v>
      </c>
      <c r="T33" s="308">
        <v>0.4</v>
      </c>
      <c r="U33" s="309">
        <v>5.162344779785629</v>
      </c>
      <c r="V33" s="64"/>
      <c r="W33" s="64"/>
      <c r="X33" s="8"/>
      <c r="Y33" s="8"/>
      <c r="Z33" s="8"/>
      <c r="AA33" s="8"/>
      <c r="AB33" s="9"/>
      <c r="AC33" s="9"/>
      <c r="AD33" s="9"/>
      <c r="AE33" s="9"/>
      <c r="AF33" s="9"/>
      <c r="AG33" s="189"/>
      <c r="AH33" s="189"/>
      <c r="AI33" s="189"/>
      <c r="AJ33" s="189"/>
      <c r="AK33" s="189"/>
      <c r="AL33" s="189"/>
      <c r="AM33" s="189"/>
      <c r="AN33" s="189"/>
      <c r="AO33" s="189"/>
      <c r="AP33" s="189"/>
      <c r="AQ33" s="189"/>
      <c r="AR33" s="189"/>
      <c r="AS33" s="189"/>
      <c r="AT33" s="189"/>
      <c r="AU33" s="189"/>
      <c r="AV33" s="189"/>
      <c r="AW33" s="189"/>
    </row>
    <row r="34" spans="1:49">
      <c r="A34" s="12"/>
      <c r="B34" s="12"/>
      <c r="C34" s="12"/>
      <c r="D34" s="12"/>
      <c r="E34" s="12"/>
      <c r="F34" s="40" t="s">
        <v>103</v>
      </c>
      <c r="G34" s="530"/>
      <c r="H34" s="531"/>
      <c r="I34" s="531"/>
      <c r="J34" s="64"/>
      <c r="K34" s="521" t="s">
        <v>118</v>
      </c>
      <c r="L34" s="246" t="s">
        <v>118</v>
      </c>
      <c r="M34" s="64"/>
      <c r="N34" s="64"/>
      <c r="O34" s="64"/>
      <c r="P34" s="64"/>
      <c r="Q34" s="64"/>
      <c r="R34" s="64"/>
      <c r="S34" s="313" t="s">
        <v>135</v>
      </c>
      <c r="T34" s="308">
        <v>0.1764705882352941</v>
      </c>
      <c r="U34" s="309">
        <v>5.5930133009940306</v>
      </c>
      <c r="V34" s="64"/>
      <c r="W34" s="64"/>
      <c r="X34" s="8"/>
      <c r="Y34" s="8"/>
      <c r="Z34" s="8"/>
      <c r="AA34" s="8"/>
      <c r="AB34" s="9"/>
      <c r="AC34" s="9"/>
      <c r="AD34" s="9"/>
      <c r="AE34" s="9"/>
      <c r="AF34" s="9"/>
      <c r="AG34" s="189"/>
      <c r="AH34" s="189"/>
      <c r="AI34" s="189"/>
      <c r="AJ34" s="189"/>
      <c r="AK34" s="189"/>
      <c r="AL34" s="189"/>
      <c r="AM34" s="189"/>
      <c r="AN34" s="189"/>
      <c r="AO34" s="189"/>
      <c r="AP34" s="189"/>
      <c r="AQ34" s="189"/>
      <c r="AR34" s="189"/>
      <c r="AS34" s="189"/>
      <c r="AT34" s="189"/>
      <c r="AU34" s="189"/>
      <c r="AV34" s="189"/>
      <c r="AW34" s="189"/>
    </row>
    <row r="35" spans="1:49">
      <c r="A35" s="12"/>
      <c r="B35" s="12"/>
      <c r="C35" s="12"/>
      <c r="D35" s="12"/>
      <c r="E35" s="12"/>
      <c r="F35" s="40" t="s">
        <v>104</v>
      </c>
      <c r="G35" s="530"/>
      <c r="H35" s="531"/>
      <c r="I35" s="531"/>
      <c r="J35" s="64"/>
      <c r="K35" s="521" t="s">
        <v>118</v>
      </c>
      <c r="L35" s="246" t="s">
        <v>118</v>
      </c>
      <c r="M35" s="64"/>
      <c r="N35" s="64"/>
      <c r="O35" s="64"/>
      <c r="P35" s="64"/>
      <c r="Q35" s="64"/>
      <c r="R35" s="64"/>
      <c r="S35" s="313"/>
      <c r="T35" s="313"/>
      <c r="U35" s="309"/>
      <c r="V35" s="64"/>
      <c r="W35" s="64"/>
      <c r="X35" s="8"/>
      <c r="Y35" s="8"/>
      <c r="Z35" s="8"/>
      <c r="AA35" s="8"/>
      <c r="AB35" s="9"/>
      <c r="AC35" s="9"/>
      <c r="AD35" s="9"/>
      <c r="AE35" s="9"/>
      <c r="AF35" s="9"/>
      <c r="AG35" s="189"/>
      <c r="AH35" s="189"/>
      <c r="AI35" s="189"/>
      <c r="AJ35" s="189"/>
      <c r="AK35" s="189"/>
      <c r="AL35" s="189"/>
      <c r="AM35" s="189"/>
      <c r="AN35" s="189"/>
      <c r="AO35" s="189"/>
      <c r="AP35" s="189"/>
      <c r="AQ35" s="189"/>
      <c r="AR35" s="189"/>
      <c r="AS35" s="189"/>
      <c r="AT35" s="189"/>
      <c r="AU35" s="189"/>
      <c r="AV35" s="189"/>
      <c r="AW35" s="189"/>
    </row>
    <row r="36" spans="1:49">
      <c r="A36" s="12"/>
      <c r="B36" s="12"/>
      <c r="C36" s="12"/>
      <c r="D36" s="12"/>
      <c r="E36" s="12"/>
      <c r="F36" s="40" t="s">
        <v>105</v>
      </c>
      <c r="G36" s="530"/>
      <c r="H36" s="531"/>
      <c r="I36" s="531"/>
      <c r="J36" s="64"/>
      <c r="K36" s="521" t="s">
        <v>118</v>
      </c>
      <c r="L36" s="246" t="s">
        <v>118</v>
      </c>
      <c r="M36" s="64"/>
      <c r="N36" s="64"/>
      <c r="O36" s="64"/>
      <c r="P36" s="64"/>
      <c r="Q36" s="64"/>
      <c r="R36" s="64"/>
      <c r="S36" s="313" t="s">
        <v>137</v>
      </c>
      <c r="T36" s="314">
        <v>0.2</v>
      </c>
      <c r="U36" s="309">
        <v>0</v>
      </c>
      <c r="V36" s="64"/>
      <c r="W36" s="64"/>
      <c r="X36" s="8"/>
      <c r="Y36" s="8"/>
      <c r="Z36" s="8"/>
      <c r="AA36" s="8"/>
      <c r="AB36" s="9"/>
      <c r="AC36" s="9"/>
      <c r="AD36" s="9"/>
      <c r="AE36" s="9"/>
      <c r="AF36" s="9"/>
      <c r="AG36" s="189"/>
      <c r="AH36" s="189"/>
      <c r="AI36" s="189"/>
      <c r="AJ36" s="189"/>
      <c r="AK36" s="189"/>
      <c r="AL36" s="189"/>
      <c r="AM36" s="189"/>
      <c r="AN36" s="189"/>
      <c r="AO36" s="189"/>
      <c r="AP36" s="189"/>
      <c r="AQ36" s="189"/>
      <c r="AR36" s="189"/>
      <c r="AS36" s="189"/>
      <c r="AT36" s="189"/>
      <c r="AU36" s="189"/>
      <c r="AV36" s="189"/>
      <c r="AW36" s="189"/>
    </row>
    <row r="37" spans="1:49">
      <c r="A37" s="12"/>
      <c r="B37" s="12"/>
      <c r="C37" s="12"/>
      <c r="D37" s="12"/>
      <c r="E37" s="12"/>
      <c r="F37" s="40" t="s">
        <v>22</v>
      </c>
      <c r="G37" s="160"/>
      <c r="H37" s="160"/>
      <c r="I37" s="160"/>
      <c r="J37" s="235">
        <f>SUM(J7:J36)</f>
        <v>1218.1528952972562</v>
      </c>
      <c r="K37" s="61"/>
      <c r="L37" s="38"/>
      <c r="M37" s="235">
        <f t="shared" ref="M37:R37" si="3">SUM(M7:M36)</f>
        <v>125.76363773002549</v>
      </c>
      <c r="N37" s="235">
        <f t="shared" si="3"/>
        <v>56.666342363283739</v>
      </c>
      <c r="O37" s="235">
        <f t="shared" si="3"/>
        <v>0</v>
      </c>
      <c r="P37" s="235">
        <f t="shared" si="3"/>
        <v>0</v>
      </c>
      <c r="Q37" s="235">
        <f t="shared" si="3"/>
        <v>0</v>
      </c>
      <c r="R37" s="235">
        <f t="shared" si="3"/>
        <v>0</v>
      </c>
      <c r="S37" s="235"/>
      <c r="T37" s="235"/>
      <c r="U37" s="235">
        <f>SUM(U7:U36)</f>
        <v>709.15406741386494</v>
      </c>
      <c r="V37" s="61"/>
      <c r="W37" s="61"/>
      <c r="X37" s="61"/>
      <c r="Z37" s="38"/>
      <c r="AA37" s="8"/>
      <c r="AB37" s="8"/>
      <c r="AC37" s="8"/>
      <c r="AD37" s="8"/>
      <c r="AE37" s="8"/>
      <c r="AF37" s="8"/>
      <c r="AG37" s="189"/>
      <c r="AH37" s="189"/>
      <c r="AI37" s="189"/>
      <c r="AJ37" s="189"/>
      <c r="AK37" s="189"/>
      <c r="AL37" s="189"/>
      <c r="AM37" s="189"/>
      <c r="AN37" s="189"/>
      <c r="AO37" s="189"/>
      <c r="AP37" s="189"/>
      <c r="AQ37" s="189"/>
      <c r="AR37" s="189"/>
      <c r="AS37" s="189"/>
      <c r="AT37" s="189"/>
      <c r="AU37" s="189"/>
      <c r="AV37" s="189"/>
      <c r="AW37" s="189"/>
    </row>
    <row r="38" spans="1:49" ht="21" customHeight="1">
      <c r="A38" s="12"/>
      <c r="B38" s="12"/>
      <c r="C38" s="12"/>
      <c r="D38" s="12"/>
      <c r="E38" s="12"/>
      <c r="F38" s="91"/>
      <c r="G38" s="163"/>
      <c r="H38" s="51"/>
      <c r="I38" s="51"/>
      <c r="J38" s="51"/>
      <c r="K38" s="51"/>
      <c r="L38" s="51"/>
      <c r="M38" s="51"/>
      <c r="N38" s="179"/>
      <c r="O38" s="179"/>
      <c r="P38" s="179"/>
      <c r="Q38" s="179"/>
      <c r="R38" s="179"/>
      <c r="S38" s="179"/>
      <c r="T38" s="179"/>
      <c r="U38" s="179"/>
      <c r="V38" s="179"/>
      <c r="W38" s="179"/>
      <c r="X38" s="51"/>
      <c r="Y38" s="51"/>
      <c r="Z38" s="51"/>
      <c r="AA38" s="8"/>
      <c r="AB38" s="8"/>
      <c r="AC38" s="8"/>
      <c r="AD38" s="44"/>
      <c r="AE38" s="9"/>
      <c r="AF38" s="9"/>
      <c r="AG38" s="189"/>
      <c r="AH38" s="189"/>
      <c r="AI38" s="189"/>
      <c r="AJ38" s="189"/>
      <c r="AK38" s="189"/>
      <c r="AL38" s="189"/>
      <c r="AM38" s="189"/>
      <c r="AN38" s="189"/>
      <c r="AO38" s="189"/>
      <c r="AP38" s="189"/>
      <c r="AQ38" s="189"/>
      <c r="AR38" s="189"/>
      <c r="AS38" s="189"/>
      <c r="AT38" s="189"/>
      <c r="AU38" s="189"/>
      <c r="AV38" s="189"/>
      <c r="AW38" s="189"/>
    </row>
    <row r="39" spans="1:49" ht="13.5" customHeight="1">
      <c r="A39" s="74"/>
      <c r="B39" s="74"/>
      <c r="C39" s="74"/>
      <c r="D39" s="74"/>
      <c r="E39" s="74"/>
      <c r="F39" s="162" t="s">
        <v>83</v>
      </c>
      <c r="G39" s="162"/>
      <c r="H39" s="162"/>
      <c r="I39" s="162"/>
      <c r="J39" s="162"/>
      <c r="K39" s="77"/>
      <c r="L39" s="77"/>
      <c r="M39" s="75"/>
      <c r="N39" s="75"/>
      <c r="O39" s="75"/>
      <c r="P39" s="75"/>
      <c r="Q39" s="75"/>
      <c r="R39" s="75"/>
      <c r="S39" s="75"/>
      <c r="T39" s="75"/>
      <c r="U39" s="75"/>
      <c r="V39" s="75"/>
      <c r="W39" s="75"/>
      <c r="X39" s="75"/>
      <c r="Y39" s="75"/>
      <c r="Z39" s="8"/>
      <c r="AA39" s="8"/>
      <c r="AB39" s="8"/>
      <c r="AC39" s="8"/>
      <c r="AD39" s="44"/>
      <c r="AE39" s="9"/>
      <c r="AF39" s="9"/>
      <c r="AG39" s="189"/>
      <c r="AH39" s="189"/>
      <c r="AI39" s="189"/>
      <c r="AJ39" s="189"/>
      <c r="AK39" s="189"/>
      <c r="AL39" s="189"/>
      <c r="AM39" s="189"/>
      <c r="AN39" s="189"/>
      <c r="AO39" s="189"/>
      <c r="AP39" s="189"/>
      <c r="AQ39" s="189"/>
      <c r="AR39" s="189"/>
      <c r="AS39" s="189"/>
      <c r="AT39" s="189"/>
      <c r="AU39" s="189"/>
      <c r="AV39" s="189"/>
      <c r="AW39" s="189"/>
    </row>
    <row r="40" spans="1:49">
      <c r="A40" s="12"/>
      <c r="B40" s="12"/>
      <c r="C40" s="12"/>
      <c r="D40" s="12"/>
      <c r="E40" s="12"/>
      <c r="F40" s="39" t="s">
        <v>5</v>
      </c>
      <c r="G40" s="233">
        <f>H40-1</f>
        <v>2010</v>
      </c>
      <c r="H40" s="233">
        <f>X7</f>
        <v>2011</v>
      </c>
      <c r="I40" s="233">
        <f>H40+1</f>
        <v>2012</v>
      </c>
      <c r="J40" s="233">
        <f t="shared" ref="J40:Q40" si="4">I40+1</f>
        <v>2013</v>
      </c>
      <c r="K40" s="233">
        <f t="shared" si="4"/>
        <v>2014</v>
      </c>
      <c r="L40" s="233">
        <f t="shared" si="4"/>
        <v>2015</v>
      </c>
      <c r="M40" s="233">
        <f t="shared" si="4"/>
        <v>2016</v>
      </c>
      <c r="N40" s="233">
        <f t="shared" si="4"/>
        <v>2017</v>
      </c>
      <c r="O40" s="233">
        <f t="shared" si="4"/>
        <v>2018</v>
      </c>
      <c r="P40" s="233">
        <f t="shared" si="4"/>
        <v>2019</v>
      </c>
      <c r="Q40" s="233">
        <f t="shared" si="4"/>
        <v>2020</v>
      </c>
      <c r="R40" s="268"/>
      <c r="S40" s="268"/>
      <c r="T40" s="268">
        <f t="shared" ref="T40:Y40" si="5">G40</f>
        <v>2010</v>
      </c>
      <c r="U40" s="269">
        <f t="shared" si="5"/>
        <v>2011</v>
      </c>
      <c r="V40" s="269">
        <f t="shared" si="5"/>
        <v>2012</v>
      </c>
      <c r="W40" s="269">
        <f t="shared" si="5"/>
        <v>2013</v>
      </c>
      <c r="X40" s="269">
        <f t="shared" si="5"/>
        <v>2014</v>
      </c>
      <c r="Y40" s="269">
        <f t="shared" si="5"/>
        <v>2015</v>
      </c>
      <c r="Z40" s="9"/>
      <c r="AA40" s="9"/>
      <c r="AB40" s="9"/>
      <c r="AC40" s="9"/>
      <c r="AD40" s="9"/>
      <c r="AE40" s="9"/>
      <c r="AF40" s="9"/>
      <c r="AG40" s="189"/>
      <c r="AH40" s="189"/>
      <c r="AI40" s="189"/>
      <c r="AJ40" s="189"/>
      <c r="AK40" s="189"/>
      <c r="AL40" s="189"/>
      <c r="AM40" s="189"/>
      <c r="AN40" s="189"/>
      <c r="AO40" s="189"/>
      <c r="AP40" s="189"/>
      <c r="AQ40" s="189"/>
      <c r="AR40" s="189"/>
      <c r="AS40" s="189"/>
      <c r="AT40" s="189"/>
      <c r="AU40" s="189"/>
      <c r="AV40" s="189"/>
      <c r="AW40" s="189"/>
    </row>
    <row r="41" spans="1:49" outlineLevel="1">
      <c r="A41" s="12"/>
      <c r="B41" s="12"/>
      <c r="C41" s="12"/>
      <c r="D41" s="12"/>
      <c r="E41" s="12"/>
      <c r="F41" s="40" t="str">
        <f>Asset1</f>
        <v>Subtransmission</v>
      </c>
      <c r="G41" s="427">
        <v>41.060965494018966</v>
      </c>
      <c r="H41" s="329">
        <v>95.716806692124436</v>
      </c>
      <c r="I41" s="329">
        <v>33.274173675302379</v>
      </c>
      <c r="J41" s="329">
        <v>67.928287275392265</v>
      </c>
      <c r="K41" s="329">
        <v>32.158281571242838</v>
      </c>
      <c r="L41" s="329">
        <v>48.565814694944798</v>
      </c>
      <c r="M41" s="62"/>
      <c r="N41" s="62"/>
      <c r="O41" s="62"/>
      <c r="P41" s="62"/>
      <c r="Q41" s="62"/>
      <c r="R41" s="8"/>
      <c r="S41" s="310" t="str">
        <f t="shared" ref="S41:S68" si="6">S7</f>
        <v>Group 1</v>
      </c>
      <c r="T41" s="315"/>
      <c r="U41" s="315"/>
      <c r="V41" s="315"/>
      <c r="W41" s="315"/>
      <c r="X41" s="315"/>
      <c r="Y41" s="316"/>
      <c r="Z41" s="9"/>
      <c r="AA41" s="9"/>
      <c r="AB41" s="9"/>
      <c r="AC41" s="9"/>
      <c r="AD41" s="9"/>
      <c r="AE41" s="9"/>
      <c r="AF41" s="9"/>
      <c r="AG41" s="189"/>
      <c r="AH41" s="189"/>
      <c r="AI41" s="189"/>
      <c r="AJ41" s="189"/>
      <c r="AK41" s="189"/>
      <c r="AL41" s="189"/>
      <c r="AM41" s="189"/>
      <c r="AN41" s="189"/>
      <c r="AO41" s="189"/>
      <c r="AP41" s="189"/>
      <c r="AQ41" s="189"/>
      <c r="AR41" s="189"/>
      <c r="AS41" s="189"/>
      <c r="AT41" s="189"/>
      <c r="AU41" s="189"/>
      <c r="AV41" s="189"/>
      <c r="AW41" s="189"/>
    </row>
    <row r="42" spans="1:49" outlineLevel="1">
      <c r="A42" s="12"/>
      <c r="B42" s="12"/>
      <c r="C42" s="12"/>
      <c r="D42" s="12"/>
      <c r="E42" s="12"/>
      <c r="F42" s="40" t="str">
        <f>Asset2</f>
        <v>Distribution system assets</v>
      </c>
      <c r="G42" s="428">
        <v>77.788715850139084</v>
      </c>
      <c r="H42" s="330">
        <v>50.857649991645545</v>
      </c>
      <c r="I42" s="330">
        <v>87.112254008141576</v>
      </c>
      <c r="J42" s="330">
        <v>77.839230816575366</v>
      </c>
      <c r="K42" s="330">
        <v>122.61145989631632</v>
      </c>
      <c r="L42" s="330">
        <v>132.84563277947467</v>
      </c>
      <c r="M42" s="63"/>
      <c r="N42" s="63"/>
      <c r="O42" s="63"/>
      <c r="P42" s="63"/>
      <c r="Q42" s="63"/>
      <c r="R42" s="8"/>
      <c r="S42" s="307" t="str">
        <f t="shared" si="6"/>
        <v>Land</v>
      </c>
      <c r="T42" s="317"/>
      <c r="U42" s="315"/>
      <c r="V42" s="315"/>
      <c r="W42" s="315"/>
      <c r="X42" s="315"/>
      <c r="Y42" s="316"/>
      <c r="Z42" s="9"/>
      <c r="AA42" s="9"/>
      <c r="AB42" s="9"/>
      <c r="AC42" s="9"/>
      <c r="AD42" s="9"/>
      <c r="AE42" s="9"/>
      <c r="AF42" s="9"/>
      <c r="AG42" s="189"/>
      <c r="AH42" s="189"/>
      <c r="AI42" s="189"/>
      <c r="AJ42" s="189"/>
      <c r="AK42" s="189"/>
      <c r="AL42" s="189"/>
      <c r="AM42" s="189"/>
      <c r="AN42" s="189"/>
      <c r="AO42" s="189"/>
      <c r="AP42" s="189"/>
      <c r="AQ42" s="189"/>
      <c r="AR42" s="189"/>
      <c r="AS42" s="189"/>
      <c r="AT42" s="189"/>
      <c r="AU42" s="189"/>
      <c r="AV42" s="189"/>
      <c r="AW42" s="189"/>
    </row>
    <row r="43" spans="1:49" outlineLevel="1">
      <c r="A43" s="12"/>
      <c r="B43" s="12"/>
      <c r="C43" s="12"/>
      <c r="D43" s="12"/>
      <c r="E43" s="12"/>
      <c r="F43" s="40" t="str">
        <f>Asset3</f>
        <v>Standard metering</v>
      </c>
      <c r="G43" s="428">
        <v>0</v>
      </c>
      <c r="H43" s="330">
        <v>0</v>
      </c>
      <c r="I43" s="330">
        <v>0</v>
      </c>
      <c r="J43" s="330">
        <v>0</v>
      </c>
      <c r="K43" s="330">
        <v>0</v>
      </c>
      <c r="L43" s="330">
        <v>0</v>
      </c>
      <c r="M43" s="63"/>
      <c r="N43" s="63"/>
      <c r="O43" s="63"/>
      <c r="P43" s="63"/>
      <c r="Q43" s="63"/>
      <c r="R43" s="8"/>
      <c r="S43" s="307" t="str">
        <f t="shared" si="6"/>
        <v>6.7 to 10 yrs</v>
      </c>
      <c r="T43" s="317"/>
      <c r="U43" s="315"/>
      <c r="V43" s="315"/>
      <c r="W43" s="315"/>
      <c r="X43" s="315"/>
      <c r="Y43" s="316"/>
      <c r="Z43" s="9"/>
      <c r="AA43" s="9"/>
      <c r="AB43" s="9"/>
      <c r="AC43" s="9"/>
      <c r="AD43" s="9"/>
      <c r="AE43" s="9"/>
      <c r="AF43" s="9"/>
      <c r="AG43" s="189"/>
      <c r="AH43" s="189"/>
      <c r="AI43" s="189"/>
      <c r="AJ43" s="189"/>
      <c r="AK43" s="189"/>
      <c r="AL43" s="189"/>
      <c r="AM43" s="189"/>
      <c r="AN43" s="189"/>
      <c r="AO43" s="189"/>
      <c r="AP43" s="189"/>
      <c r="AQ43" s="189"/>
      <c r="AR43" s="189"/>
      <c r="AS43" s="189"/>
      <c r="AT43" s="189"/>
      <c r="AU43" s="189"/>
      <c r="AV43" s="189"/>
      <c r="AW43" s="189"/>
    </row>
    <row r="44" spans="1:49" outlineLevel="1">
      <c r="A44" s="12"/>
      <c r="B44" s="12"/>
      <c r="C44" s="12"/>
      <c r="D44" s="12"/>
      <c r="E44" s="12"/>
      <c r="F44" s="40" t="str">
        <f>Asset4</f>
        <v>Public lighting</v>
      </c>
      <c r="G44" s="428">
        <v>0</v>
      </c>
      <c r="H44" s="330">
        <v>0</v>
      </c>
      <c r="I44" s="330">
        <v>0</v>
      </c>
      <c r="J44" s="330">
        <v>0</v>
      </c>
      <c r="K44" s="330">
        <v>0</v>
      </c>
      <c r="L44" s="330">
        <v>0</v>
      </c>
      <c r="M44" s="63"/>
      <c r="N44" s="63"/>
      <c r="O44" s="63"/>
      <c r="P44" s="63"/>
      <c r="Q44" s="63"/>
      <c r="R44" s="8"/>
      <c r="S44" s="307" t="str">
        <f t="shared" si="6"/>
        <v>10 to 13 yrs</v>
      </c>
      <c r="T44" s="317"/>
      <c r="U44" s="315"/>
      <c r="V44" s="315"/>
      <c r="W44" s="315"/>
      <c r="X44" s="315"/>
      <c r="Y44" s="316"/>
      <c r="Z44" s="9"/>
      <c r="AA44" s="9"/>
      <c r="AB44" s="9"/>
      <c r="AC44" s="9"/>
      <c r="AD44" s="9"/>
      <c r="AE44" s="9"/>
      <c r="AF44" s="9"/>
      <c r="AG44" s="189"/>
      <c r="AH44" s="189"/>
      <c r="AI44" s="189"/>
      <c r="AJ44" s="189"/>
      <c r="AK44" s="189"/>
      <c r="AL44" s="189"/>
      <c r="AM44" s="189"/>
      <c r="AN44" s="189"/>
      <c r="AO44" s="189"/>
      <c r="AP44" s="189"/>
      <c r="AQ44" s="189"/>
      <c r="AR44" s="189"/>
      <c r="AS44" s="189"/>
      <c r="AT44" s="189"/>
      <c r="AU44" s="189"/>
      <c r="AV44" s="189"/>
      <c r="AW44" s="189"/>
    </row>
    <row r="45" spans="1:49" outlineLevel="1">
      <c r="A45" s="12"/>
      <c r="B45" s="12"/>
      <c r="C45" s="12"/>
      <c r="D45" s="12"/>
      <c r="E45" s="12"/>
      <c r="F45" s="40" t="str">
        <f>Asset5</f>
        <v>SCADA/Network control</v>
      </c>
      <c r="G45" s="428">
        <v>0.79555182538509217</v>
      </c>
      <c r="H45" s="330">
        <v>0.90239203171009863</v>
      </c>
      <c r="I45" s="330">
        <v>3.3644581087896523</v>
      </c>
      <c r="J45" s="330">
        <v>2.6577994039104653</v>
      </c>
      <c r="K45" s="330">
        <v>2.6352712460517926</v>
      </c>
      <c r="L45" s="330">
        <v>2.1416347842839683</v>
      </c>
      <c r="M45" s="63"/>
      <c r="N45" s="63"/>
      <c r="O45" s="63"/>
      <c r="P45" s="63"/>
      <c r="Q45" s="63"/>
      <c r="R45" s="8"/>
      <c r="S45" s="307" t="str">
        <f t="shared" si="6"/>
        <v>13 to 30yrs</v>
      </c>
      <c r="T45" s="317"/>
      <c r="U45" s="315"/>
      <c r="V45" s="315"/>
      <c r="W45" s="315"/>
      <c r="X45" s="315"/>
      <c r="Y45" s="316"/>
      <c r="Z45" s="9"/>
      <c r="AA45" s="9"/>
      <c r="AB45" s="9"/>
      <c r="AC45" s="9"/>
      <c r="AD45" s="9"/>
      <c r="AE45" s="9"/>
      <c r="AF45" s="9"/>
      <c r="AG45" s="189"/>
      <c r="AH45" s="189"/>
      <c r="AI45" s="189"/>
      <c r="AJ45" s="189"/>
      <c r="AK45" s="189"/>
      <c r="AL45" s="189"/>
      <c r="AM45" s="189"/>
      <c r="AN45" s="189"/>
      <c r="AO45" s="189"/>
      <c r="AP45" s="189"/>
      <c r="AQ45" s="189"/>
      <c r="AR45" s="189"/>
      <c r="AS45" s="189"/>
      <c r="AT45" s="189"/>
      <c r="AU45" s="189"/>
      <c r="AV45" s="189"/>
      <c r="AW45" s="189"/>
    </row>
    <row r="46" spans="1:49" outlineLevel="1">
      <c r="A46" s="12"/>
      <c r="B46" s="12"/>
      <c r="C46" s="12"/>
      <c r="D46" s="12"/>
      <c r="E46" s="12"/>
      <c r="F46" s="40" t="str">
        <f>Asset6</f>
        <v>Non-network general assets - IT</v>
      </c>
      <c r="G46" s="428">
        <v>4.575097406073624</v>
      </c>
      <c r="H46" s="330">
        <v>3.5418804899201648</v>
      </c>
      <c r="I46" s="330">
        <v>5.8715034632311722</v>
      </c>
      <c r="J46" s="330">
        <v>5.1027437895067491</v>
      </c>
      <c r="K46" s="330">
        <v>8.7078966784837029</v>
      </c>
      <c r="L46" s="330">
        <v>15.500636999999999</v>
      </c>
      <c r="M46" s="63"/>
      <c r="N46" s="63"/>
      <c r="O46" s="63"/>
      <c r="P46" s="63"/>
      <c r="Q46" s="63"/>
      <c r="R46" s="8"/>
      <c r="S46" s="307" t="str">
        <f t="shared" si="6"/>
        <v>&gt; 30 years</v>
      </c>
      <c r="T46" s="317"/>
      <c r="U46" s="315"/>
      <c r="V46" s="315"/>
      <c r="W46" s="315"/>
      <c r="X46" s="315"/>
      <c r="Y46" s="316"/>
      <c r="Z46" s="9"/>
      <c r="AA46" s="9"/>
      <c r="AB46" s="9"/>
      <c r="AC46" s="9"/>
      <c r="AD46" s="9"/>
      <c r="AE46" s="9"/>
      <c r="AF46" s="9"/>
      <c r="AG46" s="189"/>
      <c r="AH46" s="189"/>
      <c r="AI46" s="189"/>
      <c r="AJ46" s="189"/>
      <c r="AK46" s="189"/>
      <c r="AL46" s="189"/>
      <c r="AM46" s="189"/>
      <c r="AN46" s="189"/>
      <c r="AO46" s="189"/>
      <c r="AP46" s="189"/>
      <c r="AQ46" s="189"/>
      <c r="AR46" s="189"/>
      <c r="AS46" s="189"/>
      <c r="AT46" s="189"/>
      <c r="AU46" s="189"/>
      <c r="AV46" s="189"/>
      <c r="AW46" s="189"/>
    </row>
    <row r="47" spans="1:49" outlineLevel="1">
      <c r="A47" s="12"/>
      <c r="B47" s="12"/>
      <c r="C47" s="12"/>
      <c r="D47" s="12"/>
      <c r="E47" s="12"/>
      <c r="F47" s="40" t="str">
        <f>Asset7</f>
        <v>Non-network general assets - Other</v>
      </c>
      <c r="G47" s="428">
        <v>1.1907127229808718</v>
      </c>
      <c r="H47" s="330">
        <v>1.9383328822735448</v>
      </c>
      <c r="I47" s="330">
        <v>0.61401748173369175</v>
      </c>
      <c r="J47" s="330">
        <v>2.5297177323067572</v>
      </c>
      <c r="K47" s="330">
        <v>5.1273239730676323</v>
      </c>
      <c r="L47" s="330">
        <v>2.7022712590173943</v>
      </c>
      <c r="M47" s="63"/>
      <c r="N47" s="63"/>
      <c r="O47" s="63"/>
      <c r="P47" s="63"/>
      <c r="Q47" s="63"/>
      <c r="R47" s="8"/>
      <c r="S47" s="307"/>
      <c r="T47" s="317"/>
      <c r="U47" s="315"/>
      <c r="V47" s="315"/>
      <c r="W47" s="315"/>
      <c r="X47" s="315"/>
      <c r="Y47" s="316"/>
      <c r="Z47" s="9"/>
      <c r="AA47" s="9"/>
      <c r="AB47" s="9"/>
      <c r="AC47" s="9"/>
      <c r="AD47" s="9"/>
      <c r="AE47" s="9"/>
      <c r="AF47" s="9"/>
      <c r="AG47" s="189"/>
      <c r="AH47" s="189"/>
      <c r="AI47" s="189"/>
      <c r="AJ47" s="189"/>
      <c r="AK47" s="189"/>
      <c r="AL47" s="189"/>
      <c r="AM47" s="189"/>
      <c r="AN47" s="189"/>
      <c r="AO47" s="189"/>
      <c r="AP47" s="189"/>
      <c r="AQ47" s="189"/>
      <c r="AR47" s="189"/>
      <c r="AS47" s="189"/>
      <c r="AT47" s="189"/>
      <c r="AU47" s="189"/>
      <c r="AV47" s="189"/>
      <c r="AW47" s="189"/>
    </row>
    <row r="48" spans="1:49" outlineLevel="1">
      <c r="A48" s="12"/>
      <c r="B48" s="12"/>
      <c r="C48" s="12"/>
      <c r="D48" s="12"/>
      <c r="E48" s="12"/>
      <c r="F48" s="40" t="str">
        <f>Asset8</f>
        <v>VBRC</v>
      </c>
      <c r="G48" s="428"/>
      <c r="H48" s="330"/>
      <c r="I48" s="330"/>
      <c r="J48" s="330"/>
      <c r="K48" s="330"/>
      <c r="L48" s="330"/>
      <c r="M48" s="63"/>
      <c r="N48" s="63"/>
      <c r="O48" s="63"/>
      <c r="P48" s="63"/>
      <c r="Q48" s="63"/>
      <c r="R48" s="8"/>
      <c r="S48" s="310" t="str">
        <f t="shared" si="6"/>
        <v>Group 2</v>
      </c>
      <c r="T48" s="317"/>
      <c r="U48" s="315"/>
      <c r="V48" s="315"/>
      <c r="W48" s="315"/>
      <c r="X48" s="315"/>
      <c r="Y48" s="316"/>
      <c r="Z48" s="9"/>
      <c r="AA48" s="9"/>
      <c r="AB48" s="9"/>
      <c r="AC48" s="9"/>
      <c r="AD48" s="9"/>
      <c r="AE48" s="9"/>
      <c r="AF48" s="9"/>
      <c r="AG48" s="189"/>
      <c r="AH48" s="189"/>
      <c r="AI48" s="189"/>
      <c r="AJ48" s="189"/>
      <c r="AK48" s="189"/>
      <c r="AL48" s="189"/>
      <c r="AM48" s="189"/>
      <c r="AN48" s="189"/>
      <c r="AO48" s="189"/>
      <c r="AP48" s="189"/>
      <c r="AQ48" s="189"/>
      <c r="AR48" s="189"/>
      <c r="AS48" s="189"/>
      <c r="AT48" s="189"/>
      <c r="AU48" s="189"/>
      <c r="AV48" s="189"/>
      <c r="AW48" s="189"/>
    </row>
    <row r="49" spans="1:49" outlineLevel="1">
      <c r="A49" s="12"/>
      <c r="B49" s="12"/>
      <c r="C49" s="12"/>
      <c r="D49" s="12"/>
      <c r="E49" s="12"/>
      <c r="F49" s="40" t="str">
        <f>Asset9</f>
        <v>Equity raising</v>
      </c>
      <c r="G49" s="169"/>
      <c r="H49" s="431">
        <f>2.75702732707338*H178^0.5</f>
        <v>2.7951914999749734</v>
      </c>
      <c r="I49" s="63">
        <v>0</v>
      </c>
      <c r="J49" s="63">
        <v>0</v>
      </c>
      <c r="K49" s="63">
        <v>0</v>
      </c>
      <c r="L49" s="63">
        <v>0</v>
      </c>
      <c r="M49" s="63"/>
      <c r="N49" s="63"/>
      <c r="O49" s="63"/>
      <c r="P49" s="63"/>
      <c r="Q49" s="63"/>
      <c r="R49" s="8"/>
      <c r="S49" s="307" t="str">
        <f t="shared" si="6"/>
        <v>Demand related capital expenditure</v>
      </c>
      <c r="T49" s="317"/>
      <c r="U49" s="315"/>
      <c r="V49" s="315"/>
      <c r="W49" s="315"/>
      <c r="X49" s="315"/>
      <c r="Y49" s="316"/>
      <c r="Z49" s="9"/>
      <c r="AA49" s="9"/>
      <c r="AB49" s="9"/>
      <c r="AC49" s="9"/>
      <c r="AD49" s="9"/>
      <c r="AE49" s="9"/>
      <c r="AF49" s="9"/>
      <c r="AG49" s="189"/>
      <c r="AH49" s="189"/>
      <c r="AI49" s="189"/>
      <c r="AJ49" s="189"/>
      <c r="AK49" s="189"/>
      <c r="AL49" s="189"/>
      <c r="AM49" s="189"/>
      <c r="AN49" s="189"/>
      <c r="AO49" s="189"/>
      <c r="AP49" s="189"/>
      <c r="AQ49" s="189"/>
      <c r="AR49" s="189"/>
      <c r="AS49" s="189"/>
      <c r="AT49" s="189"/>
      <c r="AU49" s="189"/>
      <c r="AV49" s="189"/>
      <c r="AW49" s="189"/>
    </row>
    <row r="50" spans="1:49" outlineLevel="1">
      <c r="A50" s="12"/>
      <c r="B50" s="12"/>
      <c r="C50" s="12"/>
      <c r="D50" s="12"/>
      <c r="E50" s="12"/>
      <c r="F50" s="40">
        <f>Asset10</f>
        <v>0</v>
      </c>
      <c r="G50" s="169"/>
      <c r="H50" s="63"/>
      <c r="I50" s="63"/>
      <c r="J50" s="63"/>
      <c r="K50" s="63"/>
      <c r="L50" s="63"/>
      <c r="M50" s="63"/>
      <c r="N50" s="63"/>
      <c r="O50" s="63"/>
      <c r="P50" s="63"/>
      <c r="Q50" s="63"/>
      <c r="R50" s="8"/>
      <c r="S50" s="307" t="str">
        <f t="shared" si="6"/>
        <v>Replacement expenditure (Group 1)</v>
      </c>
      <c r="T50" s="317"/>
      <c r="U50" s="315"/>
      <c r="V50" s="315"/>
      <c r="W50" s="315"/>
      <c r="X50" s="315"/>
      <c r="Y50" s="316"/>
      <c r="Z50" s="9"/>
      <c r="AA50" s="9"/>
      <c r="AB50" s="9"/>
      <c r="AC50" s="9"/>
      <c r="AD50" s="9"/>
      <c r="AE50" s="9"/>
      <c r="AF50" s="9"/>
      <c r="AG50" s="189"/>
      <c r="AH50" s="189"/>
      <c r="AI50" s="189"/>
      <c r="AJ50" s="189"/>
      <c r="AK50" s="189"/>
      <c r="AL50" s="189"/>
      <c r="AM50" s="189"/>
      <c r="AN50" s="189"/>
      <c r="AO50" s="189"/>
      <c r="AP50" s="189"/>
      <c r="AQ50" s="189"/>
      <c r="AR50" s="189"/>
      <c r="AS50" s="189"/>
      <c r="AT50" s="189"/>
      <c r="AU50" s="189"/>
      <c r="AV50" s="189"/>
      <c r="AW50" s="189"/>
    </row>
    <row r="51" spans="1:49" outlineLevel="1">
      <c r="A51" s="12"/>
      <c r="B51" s="12"/>
      <c r="C51" s="12"/>
      <c r="D51" s="12"/>
      <c r="E51" s="12"/>
      <c r="F51" s="40">
        <f>Asset11</f>
        <v>0</v>
      </c>
      <c r="G51" s="169"/>
      <c r="H51" s="63"/>
      <c r="I51" s="63"/>
      <c r="J51" s="63"/>
      <c r="K51" s="63"/>
      <c r="L51" s="63"/>
      <c r="M51" s="63"/>
      <c r="N51" s="63"/>
      <c r="O51" s="63"/>
      <c r="P51" s="63"/>
      <c r="Q51" s="63"/>
      <c r="R51" s="8"/>
      <c r="S51" s="307" t="str">
        <f t="shared" si="6"/>
        <v>Replacement expenditure (Group 2)</v>
      </c>
      <c r="T51" s="317"/>
      <c r="U51" s="315"/>
      <c r="V51" s="315"/>
      <c r="W51" s="315"/>
      <c r="X51" s="315"/>
      <c r="Y51" s="316"/>
      <c r="Z51" s="9"/>
      <c r="AA51" s="9"/>
      <c r="AB51" s="9"/>
      <c r="AC51" s="9"/>
      <c r="AD51" s="9"/>
      <c r="AE51" s="9"/>
      <c r="AF51" s="9"/>
      <c r="AG51" s="189"/>
      <c r="AH51" s="189"/>
      <c r="AI51" s="189"/>
      <c r="AJ51" s="189"/>
      <c r="AK51" s="189"/>
      <c r="AL51" s="189"/>
      <c r="AM51" s="189"/>
      <c r="AN51" s="189"/>
      <c r="AO51" s="189"/>
      <c r="AP51" s="189"/>
      <c r="AQ51" s="189"/>
      <c r="AR51" s="189"/>
      <c r="AS51" s="189"/>
      <c r="AT51" s="189"/>
      <c r="AU51" s="189"/>
      <c r="AV51" s="189"/>
      <c r="AW51" s="189"/>
    </row>
    <row r="52" spans="1:49" outlineLevel="1">
      <c r="A52" s="12"/>
      <c r="B52" s="12"/>
      <c r="C52" s="12"/>
      <c r="D52" s="12"/>
      <c r="E52" s="12"/>
      <c r="F52" s="40">
        <f>Asset12</f>
        <v>0</v>
      </c>
      <c r="G52" s="169"/>
      <c r="H52" s="63"/>
      <c r="I52" s="63"/>
      <c r="J52" s="63"/>
      <c r="K52" s="63"/>
      <c r="L52" s="63"/>
      <c r="M52" s="63"/>
      <c r="N52" s="63"/>
      <c r="O52" s="63"/>
      <c r="P52" s="63"/>
      <c r="Q52" s="63"/>
      <c r="R52" s="8"/>
      <c r="S52" s="307" t="str">
        <f t="shared" si="6"/>
        <v>Replacement expenditure (Group 3)</v>
      </c>
      <c r="T52" s="317"/>
      <c r="U52" s="315"/>
      <c r="V52" s="315"/>
      <c r="W52" s="315"/>
      <c r="X52" s="315"/>
      <c r="Y52" s="316"/>
      <c r="Z52" s="9"/>
      <c r="AA52" s="9"/>
      <c r="AB52" s="9"/>
      <c r="AC52" s="9"/>
      <c r="AD52" s="9"/>
      <c r="AE52" s="9"/>
      <c r="AF52" s="9"/>
      <c r="AG52" s="189"/>
      <c r="AH52" s="189"/>
      <c r="AI52" s="189"/>
      <c r="AJ52" s="189"/>
      <c r="AK52" s="189"/>
      <c r="AL52" s="189"/>
      <c r="AM52" s="189"/>
      <c r="AN52" s="189"/>
      <c r="AO52" s="189"/>
      <c r="AP52" s="189"/>
      <c r="AQ52" s="189"/>
      <c r="AR52" s="189"/>
      <c r="AS52" s="189"/>
      <c r="AT52" s="189"/>
      <c r="AU52" s="189"/>
      <c r="AV52" s="189"/>
      <c r="AW52" s="189"/>
    </row>
    <row r="53" spans="1:49" outlineLevel="1">
      <c r="A53" s="12"/>
      <c r="B53" s="12"/>
      <c r="C53" s="12"/>
      <c r="D53" s="12"/>
      <c r="E53" s="12"/>
      <c r="F53" s="40">
        <f>Asset13</f>
        <v>0</v>
      </c>
      <c r="G53" s="169"/>
      <c r="H53" s="63"/>
      <c r="I53" s="63"/>
      <c r="J53" s="63"/>
      <c r="K53" s="63"/>
      <c r="L53" s="63"/>
      <c r="M53" s="63"/>
      <c r="N53" s="63"/>
      <c r="O53" s="63"/>
      <c r="P53" s="63"/>
      <c r="Q53" s="63"/>
      <c r="R53" s="8"/>
      <c r="S53" s="307" t="str">
        <f t="shared" si="6"/>
        <v>Environment, safety &amp; legal</v>
      </c>
      <c r="T53" s="317"/>
      <c r="U53" s="315"/>
      <c r="V53" s="315"/>
      <c r="W53" s="315"/>
      <c r="X53" s="315"/>
      <c r="Y53" s="316"/>
      <c r="Z53" s="9"/>
      <c r="AA53" s="9"/>
      <c r="AB53" s="9"/>
      <c r="AC53" s="9"/>
      <c r="AD53" s="9"/>
      <c r="AE53" s="9"/>
      <c r="AF53" s="9"/>
      <c r="AG53" s="189"/>
      <c r="AH53" s="189"/>
      <c r="AI53" s="189"/>
      <c r="AJ53" s="189"/>
      <c r="AK53" s="189"/>
      <c r="AL53" s="189"/>
      <c r="AM53" s="189"/>
      <c r="AN53" s="189"/>
      <c r="AO53" s="189"/>
      <c r="AP53" s="189"/>
      <c r="AQ53" s="189"/>
      <c r="AR53" s="189"/>
      <c r="AS53" s="189"/>
      <c r="AT53" s="189"/>
      <c r="AU53" s="189"/>
      <c r="AV53" s="189"/>
      <c r="AW53" s="189"/>
    </row>
    <row r="54" spans="1:49" outlineLevel="1">
      <c r="A54" s="12"/>
      <c r="B54" s="12"/>
      <c r="C54" s="12"/>
      <c r="D54" s="12"/>
      <c r="E54" s="12"/>
      <c r="F54" s="40">
        <f>Asset14</f>
        <v>0</v>
      </c>
      <c r="G54" s="169"/>
      <c r="H54" s="63"/>
      <c r="I54" s="63"/>
      <c r="J54" s="63"/>
      <c r="K54" s="63"/>
      <c r="L54" s="63"/>
      <c r="M54" s="63"/>
      <c r="N54" s="63"/>
      <c r="O54" s="63"/>
      <c r="P54" s="63"/>
      <c r="Q54" s="63"/>
      <c r="R54" s="8"/>
      <c r="S54" s="307" t="str">
        <f t="shared" si="6"/>
        <v>Standard metering (Group 1)</v>
      </c>
      <c r="T54" s="317"/>
      <c r="U54" s="315"/>
      <c r="V54" s="315"/>
      <c r="W54" s="315"/>
      <c r="X54" s="315"/>
      <c r="Y54" s="316"/>
      <c r="Z54" s="9"/>
      <c r="AA54" s="9"/>
      <c r="AB54" s="9"/>
      <c r="AC54" s="9"/>
      <c r="AD54" s="9"/>
      <c r="AE54" s="9"/>
      <c r="AF54" s="9"/>
      <c r="AG54" s="189"/>
      <c r="AH54" s="189"/>
      <c r="AI54" s="189"/>
      <c r="AJ54" s="189"/>
      <c r="AK54" s="189"/>
      <c r="AL54" s="189"/>
      <c r="AM54" s="189"/>
      <c r="AN54" s="189"/>
      <c r="AO54" s="189"/>
      <c r="AP54" s="189"/>
      <c r="AQ54" s="189"/>
      <c r="AR54" s="189"/>
      <c r="AS54" s="189"/>
      <c r="AT54" s="189"/>
      <c r="AU54" s="189"/>
      <c r="AV54" s="189"/>
      <c r="AW54" s="189"/>
    </row>
    <row r="55" spans="1:49" outlineLevel="1">
      <c r="A55" s="12"/>
      <c r="B55" s="12"/>
      <c r="C55" s="12"/>
      <c r="D55" s="12"/>
      <c r="E55" s="12"/>
      <c r="F55" s="40">
        <f>Asset15</f>
        <v>0</v>
      </c>
      <c r="G55" s="169"/>
      <c r="H55" s="63"/>
      <c r="I55" s="63"/>
      <c r="J55" s="63"/>
      <c r="K55" s="63"/>
      <c r="L55" s="63"/>
      <c r="M55" s="63"/>
      <c r="N55" s="63"/>
      <c r="O55" s="63"/>
      <c r="P55" s="63"/>
      <c r="Q55" s="63"/>
      <c r="R55" s="8"/>
      <c r="S55" s="307" t="str">
        <f t="shared" si="6"/>
        <v>Standard metering (Group 2)</v>
      </c>
      <c r="T55" s="317"/>
      <c r="U55" s="315"/>
      <c r="V55" s="315"/>
      <c r="W55" s="315"/>
      <c r="X55" s="315"/>
      <c r="Y55" s="316"/>
      <c r="Z55" s="9"/>
      <c r="AA55" s="9"/>
      <c r="AB55" s="9"/>
      <c r="AC55" s="9"/>
      <c r="AD55" s="9"/>
      <c r="AE55" s="9"/>
      <c r="AF55" s="9"/>
      <c r="AG55" s="189"/>
      <c r="AH55" s="189"/>
      <c r="AI55" s="189"/>
      <c r="AJ55" s="189"/>
      <c r="AK55" s="189"/>
      <c r="AL55" s="189"/>
      <c r="AM55" s="189"/>
      <c r="AN55" s="189"/>
      <c r="AO55" s="189"/>
      <c r="AP55" s="189"/>
      <c r="AQ55" s="189"/>
      <c r="AR55" s="189"/>
      <c r="AS55" s="189"/>
      <c r="AT55" s="189"/>
      <c r="AU55" s="189"/>
      <c r="AV55" s="189"/>
      <c r="AW55" s="189"/>
    </row>
    <row r="56" spans="1:49" outlineLevel="1">
      <c r="A56" s="12"/>
      <c r="B56" s="12"/>
      <c r="C56" s="12"/>
      <c r="D56" s="12"/>
      <c r="E56" s="12"/>
      <c r="F56" s="40">
        <f>Asset16</f>
        <v>0</v>
      </c>
      <c r="G56" s="169"/>
      <c r="H56" s="63"/>
      <c r="I56" s="63"/>
      <c r="J56" s="63"/>
      <c r="K56" s="63"/>
      <c r="L56" s="63"/>
      <c r="M56" s="63"/>
      <c r="N56" s="63"/>
      <c r="O56" s="63"/>
      <c r="P56" s="63"/>
      <c r="Q56" s="63"/>
      <c r="R56" s="8"/>
      <c r="S56" s="307" t="str">
        <f t="shared" si="6"/>
        <v>SCADA/Network control</v>
      </c>
      <c r="T56" s="317"/>
      <c r="U56" s="315"/>
      <c r="V56" s="315"/>
      <c r="W56" s="315"/>
      <c r="X56" s="315"/>
      <c r="Y56" s="316"/>
      <c r="Z56" s="9"/>
      <c r="AA56" s="9"/>
      <c r="AB56" s="9"/>
      <c r="AC56" s="9"/>
      <c r="AD56" s="9"/>
      <c r="AE56" s="9"/>
      <c r="AF56" s="9"/>
      <c r="AG56" s="189"/>
      <c r="AH56" s="189"/>
      <c r="AI56" s="189"/>
      <c r="AJ56" s="189"/>
      <c r="AK56" s="189"/>
      <c r="AL56" s="189"/>
      <c r="AM56" s="189"/>
      <c r="AN56" s="189"/>
      <c r="AO56" s="189"/>
      <c r="AP56" s="189"/>
      <c r="AQ56" s="189"/>
      <c r="AR56" s="189"/>
      <c r="AS56" s="189"/>
      <c r="AT56" s="189"/>
      <c r="AU56" s="189"/>
      <c r="AV56" s="189"/>
      <c r="AW56" s="189"/>
    </row>
    <row r="57" spans="1:49" outlineLevel="1">
      <c r="A57" s="12"/>
      <c r="B57" s="12"/>
      <c r="C57" s="12"/>
      <c r="D57" s="12"/>
      <c r="E57" s="12"/>
      <c r="F57" s="40">
        <f>Asset17</f>
        <v>0</v>
      </c>
      <c r="G57" s="169"/>
      <c r="H57" s="63"/>
      <c r="I57" s="63"/>
      <c r="J57" s="63"/>
      <c r="K57" s="63"/>
      <c r="L57" s="63"/>
      <c r="M57" s="63"/>
      <c r="N57" s="63"/>
      <c r="O57" s="63"/>
      <c r="P57" s="63"/>
      <c r="Q57" s="63"/>
      <c r="R57" s="8"/>
      <c r="S57" s="307" t="str">
        <f t="shared" si="6"/>
        <v>Non-network general assets - IT</v>
      </c>
      <c r="T57" s="317"/>
      <c r="U57" s="315"/>
      <c r="V57" s="315"/>
      <c r="W57" s="315"/>
      <c r="X57" s="315"/>
      <c r="Y57" s="316"/>
      <c r="Z57" s="9"/>
      <c r="AA57" s="9"/>
      <c r="AB57" s="9"/>
      <c r="AC57" s="9"/>
      <c r="AD57" s="9"/>
      <c r="AE57" s="9"/>
      <c r="AF57" s="9"/>
      <c r="AG57" s="189"/>
      <c r="AH57" s="189"/>
      <c r="AI57" s="189"/>
      <c r="AJ57" s="189"/>
      <c r="AK57" s="189"/>
      <c r="AL57" s="189"/>
      <c r="AM57" s="189"/>
      <c r="AN57" s="189"/>
      <c r="AO57" s="189"/>
      <c r="AP57" s="189"/>
      <c r="AQ57" s="189"/>
      <c r="AR57" s="189"/>
      <c r="AS57" s="189"/>
      <c r="AT57" s="189"/>
      <c r="AU57" s="189"/>
      <c r="AV57" s="189"/>
      <c r="AW57" s="189"/>
    </row>
    <row r="58" spans="1:49" outlineLevel="1">
      <c r="A58" s="12"/>
      <c r="B58" s="12"/>
      <c r="C58" s="12"/>
      <c r="D58" s="12"/>
      <c r="E58" s="12"/>
      <c r="F58" s="40">
        <f>Asset18</f>
        <v>0</v>
      </c>
      <c r="G58" s="169"/>
      <c r="H58" s="63"/>
      <c r="I58" s="63"/>
      <c r="J58" s="63"/>
      <c r="K58" s="63"/>
      <c r="L58" s="63"/>
      <c r="M58" s="63"/>
      <c r="N58" s="63"/>
      <c r="O58" s="63"/>
      <c r="P58" s="63"/>
      <c r="Q58" s="63"/>
      <c r="R58" s="8"/>
      <c r="S58" s="307" t="str">
        <f t="shared" si="6"/>
        <v>Non-network general assets - Other</v>
      </c>
      <c r="T58" s="317"/>
      <c r="U58" s="315"/>
      <c r="V58" s="315"/>
      <c r="W58" s="315"/>
      <c r="X58" s="315"/>
      <c r="Y58" s="316"/>
      <c r="Z58" s="9"/>
      <c r="AA58" s="9"/>
      <c r="AB58" s="9"/>
      <c r="AC58" s="9"/>
      <c r="AD58" s="9"/>
      <c r="AE58" s="9"/>
      <c r="AF58" s="9"/>
      <c r="AG58" s="189"/>
      <c r="AH58" s="189"/>
      <c r="AI58" s="189"/>
      <c r="AJ58" s="189"/>
      <c r="AK58" s="189"/>
      <c r="AL58" s="189"/>
      <c r="AM58" s="189"/>
      <c r="AN58" s="189"/>
      <c r="AO58" s="189"/>
      <c r="AP58" s="189"/>
      <c r="AQ58" s="189"/>
      <c r="AR58" s="189"/>
      <c r="AS58" s="189"/>
      <c r="AT58" s="189"/>
      <c r="AU58" s="189"/>
      <c r="AV58" s="189"/>
      <c r="AW58" s="189"/>
    </row>
    <row r="59" spans="1:49" outlineLevel="1">
      <c r="A59" s="12"/>
      <c r="B59" s="12"/>
      <c r="C59" s="12"/>
      <c r="D59" s="12"/>
      <c r="E59" s="12"/>
      <c r="F59" s="40">
        <f>Asset19</f>
        <v>0</v>
      </c>
      <c r="G59" s="169"/>
      <c r="H59" s="63"/>
      <c r="I59" s="63"/>
      <c r="J59" s="63"/>
      <c r="K59" s="63"/>
      <c r="L59" s="63"/>
      <c r="M59" s="63"/>
      <c r="N59" s="63"/>
      <c r="O59" s="63"/>
      <c r="P59" s="63"/>
      <c r="Q59" s="63"/>
      <c r="R59" s="8"/>
      <c r="S59" s="307"/>
      <c r="T59" s="317"/>
      <c r="U59" s="315"/>
      <c r="V59" s="315"/>
      <c r="W59" s="315"/>
      <c r="X59" s="315"/>
      <c r="Y59" s="316"/>
      <c r="Z59" s="9"/>
      <c r="AA59" s="9"/>
      <c r="AB59" s="9"/>
      <c r="AC59" s="9"/>
      <c r="AD59" s="9"/>
      <c r="AE59" s="9"/>
      <c r="AF59" s="9"/>
      <c r="AG59" s="189"/>
      <c r="AH59" s="189"/>
      <c r="AI59" s="189"/>
      <c r="AJ59" s="189"/>
      <c r="AK59" s="189"/>
      <c r="AL59" s="189"/>
      <c r="AM59" s="189"/>
      <c r="AN59" s="189"/>
      <c r="AO59" s="189"/>
      <c r="AP59" s="189"/>
      <c r="AQ59" s="189"/>
      <c r="AR59" s="189"/>
      <c r="AS59" s="189"/>
      <c r="AT59" s="189"/>
      <c r="AU59" s="189"/>
      <c r="AV59" s="189"/>
      <c r="AW59" s="189"/>
    </row>
    <row r="60" spans="1:49" outlineLevel="1">
      <c r="A60" s="12"/>
      <c r="B60" s="12"/>
      <c r="C60" s="12"/>
      <c r="D60" s="12"/>
      <c r="E60" s="12"/>
      <c r="F60" s="40">
        <f>Asset20</f>
        <v>0</v>
      </c>
      <c r="G60" s="169"/>
      <c r="H60" s="63"/>
      <c r="I60" s="63"/>
      <c r="J60" s="63"/>
      <c r="K60" s="63"/>
      <c r="L60" s="63"/>
      <c r="M60" s="63"/>
      <c r="N60" s="63"/>
      <c r="O60" s="63"/>
      <c r="P60" s="63"/>
      <c r="Q60" s="63"/>
      <c r="R60" s="8"/>
      <c r="S60" s="312" t="str">
        <f t="shared" si="6"/>
        <v>Group 3</v>
      </c>
      <c r="T60" s="317"/>
      <c r="U60" s="315"/>
      <c r="V60" s="315"/>
      <c r="W60" s="315"/>
      <c r="X60" s="315"/>
      <c r="Y60" s="316"/>
      <c r="Z60" s="9"/>
      <c r="AA60" s="9"/>
      <c r="AB60" s="9"/>
      <c r="AC60" s="9"/>
      <c r="AD60" s="9"/>
      <c r="AE60" s="9"/>
      <c r="AF60" s="9"/>
      <c r="AG60" s="189"/>
      <c r="AH60" s="189"/>
      <c r="AI60" s="189"/>
      <c r="AJ60" s="189"/>
      <c r="AK60" s="189"/>
      <c r="AL60" s="189"/>
      <c r="AM60" s="189"/>
      <c r="AN60" s="189"/>
      <c r="AO60" s="189"/>
      <c r="AP60" s="189"/>
      <c r="AQ60" s="189"/>
      <c r="AR60" s="189"/>
      <c r="AS60" s="189"/>
      <c r="AT60" s="189"/>
      <c r="AU60" s="189"/>
      <c r="AV60" s="189"/>
      <c r="AW60" s="189"/>
    </row>
    <row r="61" spans="1:49" outlineLevel="1">
      <c r="A61" s="12"/>
      <c r="B61" s="12"/>
      <c r="C61" s="12"/>
      <c r="D61" s="12"/>
      <c r="E61" s="12"/>
      <c r="F61" s="40">
        <f>Asset21</f>
        <v>0</v>
      </c>
      <c r="G61" s="169"/>
      <c r="H61" s="63"/>
      <c r="I61" s="63"/>
      <c r="J61" s="63"/>
      <c r="K61" s="63"/>
      <c r="L61" s="63"/>
      <c r="M61" s="63"/>
      <c r="N61" s="63"/>
      <c r="O61" s="63"/>
      <c r="P61" s="63"/>
      <c r="Q61" s="63"/>
      <c r="R61" s="8"/>
      <c r="S61" s="313" t="str">
        <f t="shared" si="6"/>
        <v>Demand related capital expenditure</v>
      </c>
      <c r="T61" s="331">
        <v>76.885479516513584</v>
      </c>
      <c r="U61" s="331">
        <v>117.6240636814448</v>
      </c>
      <c r="V61" s="331">
        <v>93.408797243928916</v>
      </c>
      <c r="W61" s="331">
        <v>103.31686106221268</v>
      </c>
      <c r="X61" s="331">
        <v>117.68173647591624</v>
      </c>
      <c r="Y61" s="331">
        <v>134.20673567224415</v>
      </c>
      <c r="Z61" s="9"/>
      <c r="AA61" s="9"/>
      <c r="AB61" s="9"/>
      <c r="AC61" s="9"/>
      <c r="AD61" s="9"/>
      <c r="AE61" s="9"/>
      <c r="AF61" s="9"/>
      <c r="AG61" s="189"/>
      <c r="AH61" s="189"/>
      <c r="AI61" s="189"/>
      <c r="AJ61" s="189"/>
      <c r="AK61" s="189"/>
      <c r="AL61" s="189"/>
      <c r="AM61" s="189"/>
      <c r="AN61" s="189"/>
      <c r="AO61" s="189"/>
      <c r="AP61" s="189"/>
      <c r="AQ61" s="189"/>
      <c r="AR61" s="189"/>
      <c r="AS61" s="189"/>
      <c r="AT61" s="189"/>
      <c r="AU61" s="189"/>
      <c r="AV61" s="189"/>
      <c r="AW61" s="189"/>
    </row>
    <row r="62" spans="1:49" outlineLevel="1">
      <c r="A62" s="12"/>
      <c r="B62" s="12"/>
      <c r="C62" s="12"/>
      <c r="D62" s="12"/>
      <c r="E62" s="12"/>
      <c r="F62" s="40">
        <f>Asset22</f>
        <v>0</v>
      </c>
      <c r="G62" s="169"/>
      <c r="H62" s="63"/>
      <c r="I62" s="63"/>
      <c r="J62" s="63"/>
      <c r="K62" s="63"/>
      <c r="L62" s="63"/>
      <c r="M62" s="63"/>
      <c r="N62" s="63"/>
      <c r="O62" s="63"/>
      <c r="P62" s="63"/>
      <c r="Q62" s="63"/>
      <c r="R62" s="8"/>
      <c r="S62" s="313" t="str">
        <f t="shared" si="6"/>
        <v>Replacement expenditure (Group 1)</v>
      </c>
      <c r="T62" s="331">
        <v>18.45726054337106</v>
      </c>
      <c r="U62" s="331">
        <v>12.472931699968855</v>
      </c>
      <c r="V62" s="331">
        <v>10.169430726010216</v>
      </c>
      <c r="W62" s="331">
        <v>19.729100356968065</v>
      </c>
      <c r="X62" s="331">
        <v>16.541984586306391</v>
      </c>
      <c r="Y62" s="331">
        <v>20.510146699661792</v>
      </c>
      <c r="Z62" s="9"/>
      <c r="AA62" s="9"/>
      <c r="AB62" s="9"/>
      <c r="AC62" s="9"/>
      <c r="AD62" s="9"/>
      <c r="AE62" s="9"/>
      <c r="AF62" s="9"/>
      <c r="AG62" s="189"/>
      <c r="AH62" s="189"/>
      <c r="AI62" s="189"/>
      <c r="AJ62" s="189"/>
      <c r="AK62" s="189"/>
      <c r="AL62" s="189"/>
      <c r="AM62" s="189"/>
      <c r="AN62" s="189"/>
      <c r="AO62" s="189"/>
      <c r="AP62" s="189"/>
      <c r="AQ62" s="189"/>
      <c r="AR62" s="189"/>
      <c r="AS62" s="189"/>
      <c r="AT62" s="189"/>
      <c r="AU62" s="189"/>
      <c r="AV62" s="189"/>
      <c r="AW62" s="189"/>
    </row>
    <row r="63" spans="1:49" outlineLevel="1">
      <c r="A63" s="12"/>
      <c r="B63" s="12"/>
      <c r="C63" s="12"/>
      <c r="D63" s="12"/>
      <c r="E63" s="12"/>
      <c r="F63" s="40">
        <f>Asset23</f>
        <v>0</v>
      </c>
      <c r="G63" s="169"/>
      <c r="H63" s="63"/>
      <c r="I63" s="63"/>
      <c r="J63" s="63"/>
      <c r="K63" s="63"/>
      <c r="L63" s="63"/>
      <c r="M63" s="63"/>
      <c r="N63" s="63"/>
      <c r="O63" s="63"/>
      <c r="P63" s="63"/>
      <c r="Q63" s="63"/>
      <c r="R63" s="8"/>
      <c r="S63" s="313" t="str">
        <f t="shared" si="6"/>
        <v>Replacement expenditure (Group 2)</v>
      </c>
      <c r="T63" s="331">
        <v>3.0559497558474904</v>
      </c>
      <c r="U63" s="331">
        <v>2.317373981941703</v>
      </c>
      <c r="V63" s="331">
        <v>2.1732550696295947</v>
      </c>
      <c r="W63" s="331">
        <v>4.1236538379653274</v>
      </c>
      <c r="X63" s="331">
        <v>3.1600025626608401</v>
      </c>
      <c r="Y63" s="331">
        <v>2.7956765394455383</v>
      </c>
      <c r="Z63" s="9"/>
      <c r="AA63" s="9"/>
      <c r="AB63" s="9"/>
      <c r="AC63" s="9"/>
      <c r="AD63" s="9"/>
      <c r="AE63" s="9"/>
      <c r="AF63" s="9"/>
      <c r="AG63" s="189"/>
      <c r="AH63" s="189"/>
      <c r="AI63" s="189"/>
      <c r="AJ63" s="189"/>
      <c r="AK63" s="189"/>
      <c r="AL63" s="189"/>
      <c r="AM63" s="189"/>
      <c r="AN63" s="189"/>
      <c r="AO63" s="189"/>
      <c r="AP63" s="189"/>
      <c r="AQ63" s="189"/>
      <c r="AR63" s="189"/>
      <c r="AS63" s="189"/>
      <c r="AT63" s="189"/>
      <c r="AU63" s="189"/>
      <c r="AV63" s="189"/>
      <c r="AW63" s="189"/>
    </row>
    <row r="64" spans="1:49" outlineLevel="1">
      <c r="A64" s="12"/>
      <c r="B64" s="12"/>
      <c r="C64" s="12"/>
      <c r="D64" s="12"/>
      <c r="E64" s="12"/>
      <c r="F64" s="40">
        <f>Asset24</f>
        <v>0</v>
      </c>
      <c r="G64" s="169"/>
      <c r="H64" s="63"/>
      <c r="I64" s="63"/>
      <c r="J64" s="63"/>
      <c r="K64" s="63"/>
      <c r="L64" s="63"/>
      <c r="M64" s="63"/>
      <c r="N64" s="63"/>
      <c r="O64" s="63"/>
      <c r="P64" s="63"/>
      <c r="Q64" s="63"/>
      <c r="R64" s="8"/>
      <c r="S64" s="313" t="str">
        <f t="shared" si="6"/>
        <v>Replacement expenditure (Group 3)</v>
      </c>
      <c r="T64" s="331">
        <v>19.058201582158276</v>
      </c>
      <c r="U64" s="331">
        <v>6.3008922926976494</v>
      </c>
      <c r="V64" s="331">
        <v>6.0986592075726547</v>
      </c>
      <c r="W64" s="331">
        <v>4.7836250366915376</v>
      </c>
      <c r="X64" s="331">
        <v>5.2823794440878968</v>
      </c>
      <c r="Y64" s="331">
        <v>11.261711827360612</v>
      </c>
      <c r="Z64" s="9"/>
      <c r="AA64" s="9"/>
      <c r="AB64" s="9"/>
      <c r="AC64" s="9"/>
      <c r="AD64" s="9"/>
      <c r="AE64" s="9"/>
      <c r="AF64" s="9"/>
      <c r="AG64" s="189"/>
      <c r="AH64" s="189"/>
      <c r="AI64" s="189"/>
      <c r="AJ64" s="189"/>
      <c r="AK64" s="189"/>
      <c r="AL64" s="189"/>
      <c r="AM64" s="189"/>
      <c r="AN64" s="189"/>
      <c r="AO64" s="189"/>
      <c r="AP64" s="189"/>
      <c r="AQ64" s="189"/>
      <c r="AR64" s="189"/>
      <c r="AS64" s="189"/>
      <c r="AT64" s="189"/>
      <c r="AU64" s="189"/>
      <c r="AV64" s="189"/>
      <c r="AW64" s="189"/>
    </row>
    <row r="65" spans="1:49" outlineLevel="1">
      <c r="A65" s="12"/>
      <c r="B65" s="12"/>
      <c r="C65" s="12"/>
      <c r="D65" s="12"/>
      <c r="E65" s="12"/>
      <c r="F65" s="40">
        <f>Asset25</f>
        <v>0</v>
      </c>
      <c r="G65" s="169"/>
      <c r="H65" s="63"/>
      <c r="I65" s="63"/>
      <c r="J65" s="63"/>
      <c r="K65" s="63"/>
      <c r="L65" s="63"/>
      <c r="M65" s="63"/>
      <c r="N65" s="63"/>
      <c r="O65" s="63"/>
      <c r="P65" s="63"/>
      <c r="Q65" s="63"/>
      <c r="R65" s="8"/>
      <c r="S65" s="313" t="str">
        <f t="shared" si="6"/>
        <v>Environment, safety &amp; legal</v>
      </c>
      <c r="T65" s="331">
        <v>1.3927899462676534</v>
      </c>
      <c r="U65" s="331">
        <v>7.8591950277169937</v>
      </c>
      <c r="V65" s="331">
        <v>8.53628543630259</v>
      </c>
      <c r="W65" s="331">
        <v>13.814277798130037</v>
      </c>
      <c r="X65" s="331">
        <v>12.10363839858778</v>
      </c>
      <c r="Y65" s="331">
        <v>12.637176735707355</v>
      </c>
      <c r="Z65" s="9"/>
      <c r="AA65" s="9"/>
      <c r="AB65" s="9"/>
      <c r="AC65" s="9"/>
      <c r="AD65" s="9"/>
      <c r="AE65" s="9"/>
      <c r="AF65" s="9"/>
      <c r="AG65" s="189"/>
      <c r="AH65" s="189"/>
      <c r="AI65" s="189"/>
      <c r="AJ65" s="189"/>
      <c r="AK65" s="189"/>
      <c r="AL65" s="189"/>
      <c r="AM65" s="189"/>
      <c r="AN65" s="189"/>
      <c r="AO65" s="189"/>
      <c r="AP65" s="189"/>
      <c r="AQ65" s="189"/>
      <c r="AR65" s="189"/>
      <c r="AS65" s="189"/>
      <c r="AT65" s="189"/>
      <c r="AU65" s="189"/>
      <c r="AV65" s="189"/>
      <c r="AW65" s="189"/>
    </row>
    <row r="66" spans="1:49" outlineLevel="1">
      <c r="A66" s="12"/>
      <c r="B66" s="12"/>
      <c r="C66" s="12"/>
      <c r="D66" s="12"/>
      <c r="E66" s="12"/>
      <c r="F66" s="40">
        <f>Asset26</f>
        <v>0</v>
      </c>
      <c r="G66" s="169"/>
      <c r="H66" s="63"/>
      <c r="I66" s="63"/>
      <c r="J66" s="63"/>
      <c r="K66" s="63"/>
      <c r="L66" s="63"/>
      <c r="M66" s="63"/>
      <c r="N66" s="63"/>
      <c r="O66" s="63"/>
      <c r="P66" s="63"/>
      <c r="Q66" s="63"/>
      <c r="R66" s="8"/>
      <c r="S66" s="313" t="str">
        <f t="shared" si="6"/>
        <v>SCADA/Network control</v>
      </c>
      <c r="T66" s="331">
        <v>0.79555182538509217</v>
      </c>
      <c r="U66" s="331">
        <v>0.90239203171009863</v>
      </c>
      <c r="V66" s="331">
        <v>3.3644581087896523</v>
      </c>
      <c r="W66" s="331">
        <v>2.6577994039104653</v>
      </c>
      <c r="X66" s="331">
        <v>2.6352712460517926</v>
      </c>
      <c r="Y66" s="331">
        <v>2.1416347842839683</v>
      </c>
      <c r="Z66" s="9"/>
      <c r="AA66" s="9"/>
      <c r="AB66" s="9"/>
      <c r="AC66" s="9"/>
      <c r="AD66" s="9"/>
      <c r="AE66" s="9"/>
      <c r="AF66" s="9"/>
      <c r="AG66" s="189"/>
      <c r="AH66" s="189"/>
      <c r="AI66" s="189"/>
      <c r="AJ66" s="189"/>
      <c r="AK66" s="189"/>
      <c r="AL66" s="189"/>
      <c r="AM66" s="189"/>
      <c r="AN66" s="189"/>
      <c r="AO66" s="189"/>
      <c r="AP66" s="189"/>
      <c r="AQ66" s="189"/>
      <c r="AR66" s="189"/>
      <c r="AS66" s="189"/>
      <c r="AT66" s="189"/>
      <c r="AU66" s="189"/>
      <c r="AV66" s="189"/>
      <c r="AW66" s="189"/>
    </row>
    <row r="67" spans="1:49" outlineLevel="1">
      <c r="A67" s="12"/>
      <c r="B67" s="12"/>
      <c r="C67" s="12"/>
      <c r="D67" s="12"/>
      <c r="E67" s="12"/>
      <c r="F67" s="40">
        <f>Asset27</f>
        <v>0</v>
      </c>
      <c r="G67" s="169"/>
      <c r="H67" s="63"/>
      <c r="I67" s="63"/>
      <c r="J67" s="63"/>
      <c r="K67" s="63"/>
      <c r="L67" s="63"/>
      <c r="M67" s="63"/>
      <c r="N67" s="63"/>
      <c r="O67" s="63"/>
      <c r="P67" s="63"/>
      <c r="Q67" s="63"/>
      <c r="R67" s="8"/>
      <c r="S67" s="313" t="str">
        <f t="shared" si="6"/>
        <v>Non-network general assets - IT</v>
      </c>
      <c r="T67" s="331">
        <v>4.575097406073624</v>
      </c>
      <c r="U67" s="331">
        <v>3.5418804899201648</v>
      </c>
      <c r="V67" s="331">
        <v>5.8715034632311722</v>
      </c>
      <c r="W67" s="331">
        <v>5.1027437895067491</v>
      </c>
      <c r="X67" s="331">
        <v>8.7078966784837029</v>
      </c>
      <c r="Y67" s="331">
        <v>15.500636999999999</v>
      </c>
      <c r="Z67" s="9"/>
      <c r="AA67" s="9"/>
      <c r="AB67" s="9"/>
      <c r="AC67" s="9"/>
      <c r="AD67" s="9"/>
      <c r="AE67" s="9"/>
      <c r="AF67" s="9"/>
      <c r="AG67" s="189"/>
      <c r="AH67" s="189"/>
      <c r="AI67" s="189"/>
      <c r="AJ67" s="189"/>
      <c r="AK67" s="189"/>
      <c r="AL67" s="189"/>
      <c r="AM67" s="189"/>
      <c r="AN67" s="189"/>
      <c r="AO67" s="189"/>
      <c r="AP67" s="189"/>
      <c r="AQ67" s="189"/>
      <c r="AR67" s="189"/>
      <c r="AS67" s="189"/>
      <c r="AT67" s="189"/>
      <c r="AU67" s="189"/>
      <c r="AV67" s="189"/>
      <c r="AW67" s="189"/>
    </row>
    <row r="68" spans="1:49" outlineLevel="1">
      <c r="A68" s="12"/>
      <c r="B68" s="12"/>
      <c r="C68" s="12"/>
      <c r="D68" s="12"/>
      <c r="E68" s="12"/>
      <c r="F68" s="40">
        <f>Asset28</f>
        <v>0</v>
      </c>
      <c r="G68" s="169"/>
      <c r="H68" s="63"/>
      <c r="I68" s="63"/>
      <c r="J68" s="63"/>
      <c r="K68" s="63"/>
      <c r="L68" s="63"/>
      <c r="M68" s="63"/>
      <c r="N68" s="63"/>
      <c r="O68" s="63"/>
      <c r="P68" s="63"/>
      <c r="Q68" s="63"/>
      <c r="R68" s="8"/>
      <c r="S68" s="313" t="str">
        <f t="shared" si="6"/>
        <v>Non-network general assets - Other</v>
      </c>
      <c r="T68" s="331">
        <v>1.1907127229808718</v>
      </c>
      <c r="U68" s="331">
        <v>1.9383328822735448</v>
      </c>
      <c r="V68" s="331">
        <v>0.61401748173369175</v>
      </c>
      <c r="W68" s="331">
        <v>2.5297177323067572</v>
      </c>
      <c r="X68" s="331">
        <v>5.1273239730676323</v>
      </c>
      <c r="Y68" s="331">
        <v>2.7022712590173943</v>
      </c>
      <c r="Z68" s="9"/>
      <c r="AA68" s="9"/>
      <c r="AB68" s="9"/>
      <c r="AC68" s="9"/>
      <c r="AD68" s="9"/>
      <c r="AE68" s="9"/>
      <c r="AF68" s="9"/>
      <c r="AG68" s="189"/>
      <c r="AH68" s="189"/>
      <c r="AI68" s="189"/>
      <c r="AJ68" s="189"/>
      <c r="AK68" s="189"/>
      <c r="AL68" s="189"/>
      <c r="AM68" s="189"/>
      <c r="AN68" s="189"/>
      <c r="AO68" s="189"/>
      <c r="AP68" s="189"/>
      <c r="AQ68" s="189"/>
      <c r="AR68" s="189"/>
      <c r="AS68" s="189"/>
      <c r="AT68" s="189"/>
      <c r="AU68" s="189"/>
      <c r="AV68" s="189"/>
      <c r="AW68" s="189"/>
    </row>
    <row r="69" spans="1:49" outlineLevel="1">
      <c r="A69" s="12"/>
      <c r="B69" s="12"/>
      <c r="C69" s="12"/>
      <c r="D69" s="12"/>
      <c r="E69" s="12"/>
      <c r="F69" s="40">
        <f>Asset29</f>
        <v>0</v>
      </c>
      <c r="G69" s="169"/>
      <c r="H69" s="63"/>
      <c r="I69" s="63"/>
      <c r="J69" s="63"/>
      <c r="K69" s="63"/>
      <c r="L69" s="63"/>
      <c r="M69" s="63"/>
      <c r="N69" s="63"/>
      <c r="O69" s="63"/>
      <c r="P69" s="63"/>
      <c r="Q69" s="63"/>
      <c r="R69" s="8"/>
      <c r="S69" s="313"/>
      <c r="T69" s="317"/>
      <c r="U69" s="317"/>
      <c r="V69" s="317"/>
      <c r="W69" s="317"/>
      <c r="X69" s="317"/>
      <c r="Y69" s="317"/>
      <c r="Z69" s="9"/>
      <c r="AA69" s="9"/>
      <c r="AB69" s="9"/>
      <c r="AC69" s="9"/>
      <c r="AD69" s="9"/>
      <c r="AE69" s="9"/>
      <c r="AF69" s="9"/>
      <c r="AG69" s="189"/>
      <c r="AH69" s="189"/>
      <c r="AI69" s="189"/>
      <c r="AJ69" s="189"/>
      <c r="AK69" s="189"/>
      <c r="AL69" s="189"/>
      <c r="AM69" s="189"/>
      <c r="AN69" s="189"/>
      <c r="AO69" s="189"/>
      <c r="AP69" s="189"/>
      <c r="AQ69" s="189"/>
      <c r="AR69" s="189"/>
      <c r="AS69" s="189"/>
      <c r="AT69" s="189"/>
      <c r="AU69" s="189"/>
      <c r="AV69" s="189"/>
      <c r="AW69" s="189"/>
    </row>
    <row r="70" spans="1:49" outlineLevel="1">
      <c r="A70" s="12"/>
      <c r="B70" s="12"/>
      <c r="C70" s="12"/>
      <c r="D70" s="12"/>
      <c r="E70" s="12"/>
      <c r="F70" s="40">
        <f>Asset30</f>
        <v>0</v>
      </c>
      <c r="G70" s="169"/>
      <c r="H70" s="63"/>
      <c r="I70" s="63"/>
      <c r="J70" s="63"/>
      <c r="K70" s="63"/>
      <c r="L70" s="63"/>
      <c r="M70" s="63"/>
      <c r="N70" s="63"/>
      <c r="O70" s="63"/>
      <c r="P70" s="63"/>
      <c r="Q70" s="63"/>
      <c r="R70" s="8"/>
      <c r="S70" s="318" t="s">
        <v>144</v>
      </c>
      <c r="T70" s="319">
        <f t="shared" ref="T70:Y70" si="7">G49</f>
        <v>0</v>
      </c>
      <c r="U70" s="319">
        <f t="shared" si="7"/>
        <v>2.7951914999749734</v>
      </c>
      <c r="V70" s="319">
        <f t="shared" si="7"/>
        <v>0</v>
      </c>
      <c r="W70" s="319">
        <f t="shared" si="7"/>
        <v>0</v>
      </c>
      <c r="X70" s="319">
        <f t="shared" si="7"/>
        <v>0</v>
      </c>
      <c r="Y70" s="319">
        <f t="shared" si="7"/>
        <v>0</v>
      </c>
      <c r="Z70" s="9"/>
      <c r="AA70" s="9"/>
      <c r="AB70" s="9"/>
      <c r="AC70" s="9"/>
      <c r="AD70" s="9"/>
      <c r="AE70" s="9"/>
      <c r="AF70" s="9"/>
      <c r="AG70" s="189"/>
      <c r="AH70" s="189"/>
      <c r="AI70" s="189"/>
      <c r="AJ70" s="189"/>
      <c r="AK70" s="189"/>
      <c r="AL70" s="189"/>
      <c r="AM70" s="189"/>
      <c r="AN70" s="189"/>
      <c r="AO70" s="189"/>
      <c r="AP70" s="189"/>
      <c r="AQ70" s="189"/>
      <c r="AR70" s="189"/>
      <c r="AS70" s="189"/>
      <c r="AT70" s="189"/>
      <c r="AU70" s="189"/>
      <c r="AV70" s="189"/>
      <c r="AW70" s="189"/>
    </row>
    <row r="71" spans="1:49">
      <c r="A71" s="12"/>
      <c r="B71" s="12"/>
      <c r="C71" s="12"/>
      <c r="D71" s="12"/>
      <c r="E71" s="12"/>
      <c r="F71" s="40" t="s">
        <v>22</v>
      </c>
      <c r="G71" s="235">
        <f>SUM(G41:G70)</f>
        <v>125.41104329859765</v>
      </c>
      <c r="H71" s="235">
        <f t="shared" ref="H71:Q71" si="8">SUM(H41:H70)</f>
        <v>155.7522535876488</v>
      </c>
      <c r="I71" s="235">
        <f t="shared" si="8"/>
        <v>130.23640673719848</v>
      </c>
      <c r="J71" s="235">
        <f t="shared" si="8"/>
        <v>156.05777901769162</v>
      </c>
      <c r="K71" s="235">
        <f t="shared" si="8"/>
        <v>171.24023336516228</v>
      </c>
      <c r="L71" s="235">
        <f t="shared" si="8"/>
        <v>201.75599051772087</v>
      </c>
      <c r="M71" s="235">
        <f t="shared" si="8"/>
        <v>0</v>
      </c>
      <c r="N71" s="235">
        <f t="shared" si="8"/>
        <v>0</v>
      </c>
      <c r="O71" s="235">
        <f t="shared" si="8"/>
        <v>0</v>
      </c>
      <c r="P71" s="235">
        <f t="shared" si="8"/>
        <v>0</v>
      </c>
      <c r="Q71" s="235">
        <f t="shared" si="8"/>
        <v>0</v>
      </c>
      <c r="R71" s="38"/>
      <c r="S71" s="38"/>
      <c r="T71" s="235">
        <f t="shared" ref="T71:Y71" si="9">SUM(T41:T70)</f>
        <v>125.41104329859766</v>
      </c>
      <c r="U71" s="235">
        <f t="shared" si="9"/>
        <v>155.7522535876488</v>
      </c>
      <c r="V71" s="235">
        <f t="shared" si="9"/>
        <v>130.23640673719848</v>
      </c>
      <c r="W71" s="235">
        <f t="shared" si="9"/>
        <v>156.05777901769162</v>
      </c>
      <c r="X71" s="235">
        <f t="shared" si="9"/>
        <v>171.24023336516228</v>
      </c>
      <c r="Y71" s="235">
        <f t="shared" si="9"/>
        <v>201.75599051772085</v>
      </c>
      <c r="Z71" s="48"/>
      <c r="AA71" s="8"/>
      <c r="AB71" s="8"/>
      <c r="AC71" s="44"/>
      <c r="AD71" s="9"/>
      <c r="AE71" s="9"/>
      <c r="AF71" s="9"/>
      <c r="AG71" s="189"/>
      <c r="AH71" s="189"/>
      <c r="AI71" s="189"/>
      <c r="AJ71" s="189"/>
      <c r="AK71" s="189"/>
      <c r="AL71" s="189"/>
      <c r="AM71" s="189"/>
      <c r="AN71" s="189"/>
      <c r="AO71" s="189"/>
      <c r="AP71" s="189"/>
      <c r="AQ71" s="189"/>
      <c r="AR71" s="189"/>
      <c r="AS71" s="189"/>
      <c r="AT71" s="189"/>
      <c r="AU71" s="189"/>
      <c r="AV71" s="189"/>
      <c r="AW71" s="189"/>
    </row>
    <row r="72" spans="1:49" ht="21" customHeight="1">
      <c r="A72" s="9"/>
      <c r="B72" s="9"/>
      <c r="C72" s="9"/>
      <c r="D72" s="9"/>
      <c r="E72" s="9"/>
      <c r="F72" s="9"/>
      <c r="G72" s="9"/>
      <c r="H72" s="296"/>
      <c r="I72" s="20"/>
      <c r="J72" s="9"/>
      <c r="K72" s="9"/>
      <c r="L72" s="9"/>
      <c r="M72" s="9"/>
      <c r="N72" s="9"/>
      <c r="O72" s="9"/>
      <c r="P72" s="9"/>
      <c r="Q72" s="9"/>
      <c r="R72" s="234">
        <f>SUM(G71:Q71)</f>
        <v>940.45370652401971</v>
      </c>
      <c r="S72" s="234"/>
      <c r="T72" s="234"/>
      <c r="U72" s="9"/>
      <c r="V72" s="9"/>
      <c r="W72" s="9"/>
      <c r="X72" s="9"/>
      <c r="Y72" s="9"/>
      <c r="Z72" s="9"/>
      <c r="AA72" s="9"/>
      <c r="AB72" s="9"/>
      <c r="AC72" s="19"/>
      <c r="AD72" s="9"/>
      <c r="AE72" s="9"/>
      <c r="AF72" s="9"/>
      <c r="AG72" s="189"/>
      <c r="AH72" s="189"/>
      <c r="AI72" s="189"/>
      <c r="AJ72" s="189"/>
      <c r="AK72" s="189"/>
      <c r="AL72" s="189"/>
      <c r="AM72" s="189"/>
      <c r="AN72" s="189"/>
      <c r="AO72" s="189"/>
      <c r="AP72" s="189"/>
      <c r="AQ72" s="189"/>
      <c r="AR72" s="189"/>
      <c r="AS72" s="189"/>
      <c r="AT72" s="189"/>
      <c r="AU72" s="189"/>
      <c r="AV72" s="189"/>
      <c r="AW72" s="189"/>
    </row>
    <row r="73" spans="1:49" ht="13.5" customHeight="1">
      <c r="A73" s="74"/>
      <c r="B73" s="74"/>
      <c r="C73" s="74"/>
      <c r="D73" s="74"/>
      <c r="E73" s="74"/>
      <c r="F73" s="162" t="s">
        <v>84</v>
      </c>
      <c r="G73" s="162"/>
      <c r="H73" s="162"/>
      <c r="I73" s="162"/>
      <c r="J73" s="162"/>
      <c r="K73" s="77"/>
      <c r="L73" s="77"/>
      <c r="M73" s="75"/>
      <c r="N73" s="75"/>
      <c r="O73" s="75"/>
      <c r="P73" s="75"/>
      <c r="Q73" s="75"/>
      <c r="R73" s="75"/>
      <c r="S73" s="75"/>
      <c r="T73" s="75"/>
      <c r="U73" s="75"/>
      <c r="V73" s="75"/>
      <c r="W73" s="75"/>
      <c r="X73" s="75"/>
      <c r="Y73" s="75"/>
      <c r="Z73" s="8"/>
      <c r="AA73" s="8"/>
      <c r="AB73" s="8"/>
      <c r="AC73" s="8"/>
      <c r="AD73" s="44"/>
      <c r="AE73" s="9"/>
      <c r="AF73" s="9"/>
      <c r="AG73" s="189"/>
      <c r="AH73" s="189"/>
      <c r="AI73" s="189"/>
      <c r="AJ73" s="189"/>
      <c r="AK73" s="189"/>
      <c r="AL73" s="189"/>
      <c r="AM73" s="189"/>
      <c r="AN73" s="189"/>
      <c r="AO73" s="189"/>
      <c r="AP73" s="189"/>
      <c r="AQ73" s="189"/>
      <c r="AR73" s="189"/>
      <c r="AS73" s="189"/>
      <c r="AT73" s="189"/>
      <c r="AU73" s="189"/>
      <c r="AV73" s="189"/>
      <c r="AW73" s="189"/>
    </row>
    <row r="74" spans="1:49">
      <c r="A74" s="12"/>
      <c r="B74" s="12"/>
      <c r="C74" s="12"/>
      <c r="D74" s="12"/>
      <c r="E74" s="12"/>
      <c r="F74" s="39" t="s">
        <v>5</v>
      </c>
      <c r="G74" s="233">
        <f>G40</f>
        <v>2010</v>
      </c>
      <c r="H74" s="233">
        <f t="shared" ref="H74:Q74" si="10">H40</f>
        <v>2011</v>
      </c>
      <c r="I74" s="233">
        <f t="shared" si="10"/>
        <v>2012</v>
      </c>
      <c r="J74" s="233">
        <f t="shared" si="10"/>
        <v>2013</v>
      </c>
      <c r="K74" s="233">
        <f t="shared" si="10"/>
        <v>2014</v>
      </c>
      <c r="L74" s="233">
        <f t="shared" si="10"/>
        <v>2015</v>
      </c>
      <c r="M74" s="233">
        <f t="shared" si="10"/>
        <v>2016</v>
      </c>
      <c r="N74" s="233">
        <f t="shared" si="10"/>
        <v>2017</v>
      </c>
      <c r="O74" s="233">
        <f t="shared" si="10"/>
        <v>2018</v>
      </c>
      <c r="P74" s="233">
        <f t="shared" si="10"/>
        <v>2019</v>
      </c>
      <c r="Q74" s="233">
        <f t="shared" si="10"/>
        <v>2020</v>
      </c>
      <c r="R74" s="8"/>
      <c r="S74" s="8"/>
      <c r="T74" s="267"/>
      <c r="U74" s="267"/>
      <c r="V74" s="267"/>
      <c r="W74" s="267"/>
      <c r="X74" s="267"/>
      <c r="Y74" s="267"/>
      <c r="Z74" s="9"/>
      <c r="AA74" s="9"/>
      <c r="AB74" s="9"/>
      <c r="AC74" s="9"/>
      <c r="AD74" s="9"/>
      <c r="AE74" s="9"/>
      <c r="AF74" s="9"/>
      <c r="AG74" s="189"/>
      <c r="AH74" s="189"/>
      <c r="AI74" s="189"/>
      <c r="AJ74" s="189"/>
      <c r="AK74" s="189"/>
      <c r="AL74" s="189"/>
      <c r="AM74" s="189"/>
      <c r="AN74" s="189"/>
      <c r="AO74" s="189"/>
      <c r="AP74" s="189"/>
      <c r="AQ74" s="189"/>
      <c r="AR74" s="189"/>
      <c r="AS74" s="189"/>
      <c r="AT74" s="189"/>
      <c r="AU74" s="189"/>
      <c r="AV74" s="189"/>
      <c r="AW74" s="189"/>
    </row>
    <row r="75" spans="1:49" outlineLevel="1">
      <c r="A75" s="12"/>
      <c r="B75" s="12"/>
      <c r="C75" s="12"/>
      <c r="D75" s="12"/>
      <c r="E75" s="12"/>
      <c r="F75" s="40" t="str">
        <f>Asset1</f>
        <v>Subtransmission</v>
      </c>
      <c r="G75" s="427">
        <v>0</v>
      </c>
      <c r="H75" s="62">
        <v>0</v>
      </c>
      <c r="I75" s="62">
        <v>0</v>
      </c>
      <c r="J75" s="62">
        <v>0</v>
      </c>
      <c r="K75" s="62">
        <v>0</v>
      </c>
      <c r="L75" s="62">
        <v>0</v>
      </c>
      <c r="M75" s="62"/>
      <c r="N75" s="62"/>
      <c r="O75" s="62"/>
      <c r="P75" s="62"/>
      <c r="Q75" s="62"/>
      <c r="R75" s="175"/>
      <c r="S75" s="270"/>
      <c r="T75" s="175"/>
      <c r="U75" s="175"/>
      <c r="V75" s="175"/>
      <c r="W75" s="175"/>
      <c r="X75" s="175"/>
      <c r="Y75" s="175"/>
      <c r="Z75" s="9"/>
      <c r="AA75" s="9"/>
      <c r="AB75" s="9"/>
      <c r="AC75" s="9"/>
      <c r="AD75" s="9"/>
      <c r="AE75" s="9"/>
      <c r="AF75" s="9"/>
      <c r="AG75" s="189"/>
      <c r="AH75" s="189"/>
      <c r="AI75" s="189"/>
      <c r="AJ75" s="189"/>
      <c r="AK75" s="189"/>
      <c r="AL75" s="189"/>
      <c r="AM75" s="189"/>
      <c r="AN75" s="189"/>
      <c r="AO75" s="189"/>
      <c r="AP75" s="189"/>
      <c r="AQ75" s="189"/>
      <c r="AR75" s="189"/>
      <c r="AS75" s="189"/>
      <c r="AT75" s="189"/>
      <c r="AU75" s="189"/>
      <c r="AV75" s="189"/>
      <c r="AW75" s="189"/>
    </row>
    <row r="76" spans="1:49" outlineLevel="1">
      <c r="A76" s="12"/>
      <c r="B76" s="12"/>
      <c r="C76" s="12"/>
      <c r="D76" s="12"/>
      <c r="E76" s="12"/>
      <c r="F76" s="40" t="str">
        <f>Asset2</f>
        <v>Distribution system assets</v>
      </c>
      <c r="G76" s="428">
        <v>0</v>
      </c>
      <c r="H76" s="63">
        <v>0</v>
      </c>
      <c r="I76" s="63">
        <v>0</v>
      </c>
      <c r="J76" s="63">
        <v>0</v>
      </c>
      <c r="K76" s="63">
        <v>0</v>
      </c>
      <c r="L76" s="63">
        <v>0</v>
      </c>
      <c r="M76" s="63"/>
      <c r="N76" s="63"/>
      <c r="O76" s="63"/>
      <c r="P76" s="63"/>
      <c r="Q76" s="63"/>
      <c r="R76" s="92"/>
      <c r="S76" s="271"/>
      <c r="T76" s="92"/>
      <c r="U76" s="92"/>
      <c r="V76" s="92"/>
      <c r="W76" s="92"/>
      <c r="X76" s="92"/>
      <c r="Y76" s="92"/>
      <c r="Z76" s="9"/>
      <c r="AA76" s="9"/>
      <c r="AB76" s="9"/>
      <c r="AC76" s="9"/>
      <c r="AD76" s="9"/>
      <c r="AE76" s="9"/>
      <c r="AF76" s="9"/>
      <c r="AG76" s="189"/>
      <c r="AH76" s="189"/>
      <c r="AI76" s="189"/>
      <c r="AJ76" s="189"/>
      <c r="AK76" s="189"/>
      <c r="AL76" s="189"/>
      <c r="AM76" s="189"/>
      <c r="AN76" s="189"/>
      <c r="AO76" s="189"/>
      <c r="AP76" s="189"/>
      <c r="AQ76" s="189"/>
      <c r="AR76" s="189"/>
      <c r="AS76" s="189"/>
      <c r="AT76" s="189"/>
      <c r="AU76" s="189"/>
      <c r="AV76" s="189"/>
      <c r="AW76" s="189"/>
    </row>
    <row r="77" spans="1:49" outlineLevel="1">
      <c r="A77" s="12"/>
      <c r="B77" s="12"/>
      <c r="C77" s="12"/>
      <c r="D77" s="12"/>
      <c r="E77" s="12"/>
      <c r="F77" s="40" t="str">
        <f>Asset3</f>
        <v>Standard metering</v>
      </c>
      <c r="G77" s="428">
        <v>0</v>
      </c>
      <c r="H77" s="63">
        <v>0</v>
      </c>
      <c r="I77" s="63">
        <v>0</v>
      </c>
      <c r="J77" s="63">
        <v>0</v>
      </c>
      <c r="K77" s="63">
        <v>0</v>
      </c>
      <c r="L77" s="63">
        <v>0</v>
      </c>
      <c r="M77" s="63"/>
      <c r="N77" s="63"/>
      <c r="O77" s="63"/>
      <c r="P77" s="63"/>
      <c r="Q77" s="63"/>
      <c r="R77" s="92"/>
      <c r="S77" s="271"/>
      <c r="T77" s="92"/>
      <c r="U77" s="92"/>
      <c r="V77" s="92"/>
      <c r="W77" s="92"/>
      <c r="X77" s="92"/>
      <c r="Y77" s="92"/>
      <c r="Z77" s="9"/>
      <c r="AA77" s="9"/>
      <c r="AB77" s="9"/>
      <c r="AC77" s="9"/>
      <c r="AD77" s="9"/>
      <c r="AE77" s="9"/>
      <c r="AF77" s="9"/>
      <c r="AG77" s="189"/>
      <c r="AH77" s="189"/>
      <c r="AI77" s="189"/>
      <c r="AJ77" s="189"/>
      <c r="AK77" s="189"/>
      <c r="AL77" s="189"/>
      <c r="AM77" s="189"/>
      <c r="AN77" s="189"/>
      <c r="AO77" s="189"/>
      <c r="AP77" s="189"/>
      <c r="AQ77" s="189"/>
      <c r="AR77" s="189"/>
      <c r="AS77" s="189"/>
      <c r="AT77" s="189"/>
      <c r="AU77" s="189"/>
      <c r="AV77" s="189"/>
      <c r="AW77" s="189"/>
    </row>
    <row r="78" spans="1:49" outlineLevel="1">
      <c r="A78" s="12"/>
      <c r="B78" s="12"/>
      <c r="C78" s="12"/>
      <c r="D78" s="12"/>
      <c r="E78" s="12"/>
      <c r="F78" s="40" t="str">
        <f>Asset4</f>
        <v>Public lighting</v>
      </c>
      <c r="G78" s="428">
        <v>0</v>
      </c>
      <c r="H78" s="63">
        <v>0</v>
      </c>
      <c r="I78" s="63">
        <v>0</v>
      </c>
      <c r="J78" s="63">
        <v>0</v>
      </c>
      <c r="K78" s="63">
        <v>0</v>
      </c>
      <c r="L78" s="63">
        <v>0</v>
      </c>
      <c r="M78" s="63"/>
      <c r="N78" s="63"/>
      <c r="O78" s="63"/>
      <c r="P78" s="63"/>
      <c r="Q78" s="63"/>
      <c r="R78" s="92"/>
      <c r="S78" s="271"/>
      <c r="T78" s="92"/>
      <c r="U78" s="92"/>
      <c r="V78" s="92"/>
      <c r="W78" s="92"/>
      <c r="X78" s="92"/>
      <c r="Y78" s="92"/>
      <c r="Z78" s="9"/>
      <c r="AA78" s="9"/>
      <c r="AB78" s="9"/>
      <c r="AC78" s="9"/>
      <c r="AD78" s="9"/>
      <c r="AE78" s="9"/>
      <c r="AF78" s="9"/>
      <c r="AG78" s="189"/>
      <c r="AH78" s="189"/>
      <c r="AI78" s="189"/>
      <c r="AJ78" s="189"/>
      <c r="AK78" s="189"/>
      <c r="AL78" s="189"/>
      <c r="AM78" s="189"/>
      <c r="AN78" s="189"/>
      <c r="AO78" s="189"/>
      <c r="AP78" s="189"/>
      <c r="AQ78" s="189"/>
      <c r="AR78" s="189"/>
      <c r="AS78" s="189"/>
      <c r="AT78" s="189"/>
      <c r="AU78" s="189"/>
      <c r="AV78" s="189"/>
      <c r="AW78" s="189"/>
    </row>
    <row r="79" spans="1:49" outlineLevel="1">
      <c r="A79" s="12"/>
      <c r="B79" s="12"/>
      <c r="C79" s="12"/>
      <c r="D79" s="12"/>
      <c r="E79" s="12"/>
      <c r="F79" s="40" t="str">
        <f>Asset5</f>
        <v>SCADA/Network control</v>
      </c>
      <c r="G79" s="428">
        <v>0</v>
      </c>
      <c r="H79" s="63">
        <v>0</v>
      </c>
      <c r="I79" s="63">
        <v>0</v>
      </c>
      <c r="J79" s="63">
        <v>0</v>
      </c>
      <c r="K79" s="63">
        <v>0</v>
      </c>
      <c r="L79" s="63">
        <v>0</v>
      </c>
      <c r="M79" s="63"/>
      <c r="N79" s="63"/>
      <c r="O79" s="63"/>
      <c r="P79" s="63"/>
      <c r="Q79" s="63"/>
      <c r="R79" s="92"/>
      <c r="S79" s="271"/>
      <c r="T79" s="92"/>
      <c r="U79" s="92"/>
      <c r="V79" s="92"/>
      <c r="W79" s="92"/>
      <c r="X79" s="92"/>
      <c r="Y79" s="92"/>
      <c r="Z79" s="9"/>
      <c r="AA79" s="9"/>
      <c r="AB79" s="9"/>
      <c r="AC79" s="9"/>
      <c r="AD79" s="9"/>
      <c r="AE79" s="9"/>
      <c r="AF79" s="9"/>
      <c r="AG79" s="189"/>
      <c r="AH79" s="189"/>
      <c r="AI79" s="189"/>
      <c r="AJ79" s="189"/>
      <c r="AK79" s="189"/>
      <c r="AL79" s="189"/>
      <c r="AM79" s="189"/>
      <c r="AN79" s="189"/>
      <c r="AO79" s="189"/>
      <c r="AP79" s="189"/>
      <c r="AQ79" s="189"/>
      <c r="AR79" s="189"/>
      <c r="AS79" s="189"/>
      <c r="AT79" s="189"/>
      <c r="AU79" s="189"/>
      <c r="AV79" s="189"/>
      <c r="AW79" s="189"/>
    </row>
    <row r="80" spans="1:49" outlineLevel="1">
      <c r="A80" s="12"/>
      <c r="B80" s="12"/>
      <c r="C80" s="12"/>
      <c r="D80" s="12"/>
      <c r="E80" s="12"/>
      <c r="F80" s="40" t="str">
        <f>Asset6</f>
        <v>Non-network general assets - IT</v>
      </c>
      <c r="G80" s="428">
        <v>0</v>
      </c>
      <c r="H80" s="63">
        <v>0</v>
      </c>
      <c r="I80" s="63">
        <v>0</v>
      </c>
      <c r="J80" s="63">
        <v>0</v>
      </c>
      <c r="K80" s="63">
        <v>0</v>
      </c>
      <c r="L80" s="63">
        <v>0</v>
      </c>
      <c r="M80" s="63"/>
      <c r="N80" s="63"/>
      <c r="O80" s="63"/>
      <c r="P80" s="63"/>
      <c r="Q80" s="63"/>
      <c r="R80" s="92"/>
      <c r="S80" s="271"/>
      <c r="T80" s="92"/>
      <c r="U80" s="92"/>
      <c r="V80" s="92"/>
      <c r="W80" s="92"/>
      <c r="X80" s="92"/>
      <c r="Y80" s="92"/>
      <c r="Z80" s="9"/>
      <c r="AA80" s="9"/>
      <c r="AB80" s="9"/>
      <c r="AC80" s="9"/>
      <c r="AD80" s="9"/>
      <c r="AE80" s="9"/>
      <c r="AF80" s="9"/>
      <c r="AG80" s="189"/>
      <c r="AH80" s="189"/>
      <c r="AI80" s="189"/>
      <c r="AJ80" s="189"/>
      <c r="AK80" s="189"/>
      <c r="AL80" s="189"/>
      <c r="AM80" s="189"/>
      <c r="AN80" s="189"/>
      <c r="AO80" s="189"/>
      <c r="AP80" s="189"/>
      <c r="AQ80" s="189"/>
      <c r="AR80" s="189"/>
      <c r="AS80" s="189"/>
      <c r="AT80" s="189"/>
      <c r="AU80" s="189"/>
      <c r="AV80" s="189"/>
      <c r="AW80" s="189"/>
    </row>
    <row r="81" spans="1:49" outlineLevel="1">
      <c r="A81" s="12"/>
      <c r="B81" s="12"/>
      <c r="C81" s="12"/>
      <c r="D81" s="12"/>
      <c r="E81" s="12"/>
      <c r="F81" s="40" t="str">
        <f>Asset7</f>
        <v>Non-network general assets - Other</v>
      </c>
      <c r="G81" s="428">
        <v>5.8063160000000003E-2</v>
      </c>
      <c r="H81" s="63">
        <v>1.0092501999999999</v>
      </c>
      <c r="I81" s="63">
        <v>0.39294074000000001</v>
      </c>
      <c r="J81" s="63">
        <v>0</v>
      </c>
      <c r="K81" s="63">
        <v>0.21054274000000001</v>
      </c>
      <c r="L81" s="63">
        <v>0</v>
      </c>
      <c r="M81" s="63"/>
      <c r="N81" s="63"/>
      <c r="O81" s="63"/>
      <c r="P81" s="63"/>
      <c r="Q81" s="63"/>
      <c r="R81" s="92"/>
      <c r="S81" s="271"/>
      <c r="T81" s="92"/>
      <c r="U81" s="92"/>
      <c r="V81" s="92"/>
      <c r="W81" s="92"/>
      <c r="X81" s="92"/>
      <c r="Y81" s="92"/>
      <c r="Z81" s="9"/>
      <c r="AA81" s="9"/>
      <c r="AB81" s="9"/>
      <c r="AC81" s="9"/>
      <c r="AD81" s="9"/>
      <c r="AE81" s="9"/>
      <c r="AF81" s="9"/>
      <c r="AG81" s="189"/>
      <c r="AH81" s="189"/>
      <c r="AI81" s="189"/>
      <c r="AJ81" s="189"/>
      <c r="AK81" s="189"/>
      <c r="AL81" s="189"/>
      <c r="AM81" s="189"/>
      <c r="AN81" s="189"/>
      <c r="AO81" s="189"/>
      <c r="AP81" s="189"/>
      <c r="AQ81" s="189"/>
      <c r="AR81" s="189"/>
      <c r="AS81" s="189"/>
      <c r="AT81" s="189"/>
      <c r="AU81" s="189"/>
      <c r="AV81" s="189"/>
      <c r="AW81" s="189"/>
    </row>
    <row r="82" spans="1:49" outlineLevel="1">
      <c r="A82" s="12"/>
      <c r="B82" s="12"/>
      <c r="C82" s="12"/>
      <c r="D82" s="12"/>
      <c r="E82" s="12"/>
      <c r="F82" s="40" t="str">
        <f>Asset8</f>
        <v>VBRC</v>
      </c>
      <c r="G82" s="169"/>
      <c r="H82" s="63"/>
      <c r="I82" s="63"/>
      <c r="J82" s="63"/>
      <c r="K82" s="63"/>
      <c r="L82" s="63"/>
      <c r="M82" s="63"/>
      <c r="N82" s="63"/>
      <c r="O82" s="63"/>
      <c r="P82" s="63"/>
      <c r="Q82" s="63"/>
      <c r="R82" s="92"/>
      <c r="S82" s="272"/>
      <c r="T82" s="92"/>
      <c r="U82" s="92"/>
      <c r="V82" s="92"/>
      <c r="W82" s="92"/>
      <c r="X82" s="92"/>
      <c r="Y82" s="92"/>
      <c r="Z82" s="9"/>
      <c r="AA82" s="9"/>
      <c r="AB82" s="9"/>
      <c r="AC82" s="9"/>
      <c r="AD82" s="9"/>
      <c r="AE82" s="9"/>
      <c r="AF82" s="9"/>
      <c r="AG82" s="189"/>
      <c r="AH82" s="189"/>
      <c r="AI82" s="189"/>
      <c r="AJ82" s="189"/>
      <c r="AK82" s="189"/>
      <c r="AL82" s="189"/>
      <c r="AM82" s="189"/>
      <c r="AN82" s="189"/>
      <c r="AO82" s="189"/>
      <c r="AP82" s="189"/>
      <c r="AQ82" s="189"/>
      <c r="AR82" s="189"/>
      <c r="AS82" s="189"/>
      <c r="AT82" s="189"/>
      <c r="AU82" s="189"/>
      <c r="AV82" s="189"/>
      <c r="AW82" s="189"/>
    </row>
    <row r="83" spans="1:49" outlineLevel="1">
      <c r="A83" s="12"/>
      <c r="B83" s="12"/>
      <c r="C83" s="12"/>
      <c r="D83" s="12"/>
      <c r="E83" s="12"/>
      <c r="F83" s="40" t="str">
        <f>Asset9</f>
        <v>Equity raising</v>
      </c>
      <c r="G83" s="169"/>
      <c r="H83" s="63"/>
      <c r="I83" s="63"/>
      <c r="J83" s="63"/>
      <c r="K83" s="63"/>
      <c r="L83" s="63"/>
      <c r="M83" s="63"/>
      <c r="N83" s="63"/>
      <c r="O83" s="63"/>
      <c r="P83" s="63"/>
      <c r="Q83" s="63"/>
      <c r="R83" s="92"/>
      <c r="S83" s="271"/>
      <c r="T83" s="92"/>
      <c r="U83" s="92"/>
      <c r="V83" s="92"/>
      <c r="W83" s="92"/>
      <c r="X83" s="92"/>
      <c r="Y83" s="92"/>
      <c r="Z83" s="9"/>
      <c r="AA83" s="9"/>
      <c r="AB83" s="9"/>
      <c r="AC83" s="9"/>
      <c r="AD83" s="9"/>
      <c r="AE83" s="9"/>
      <c r="AF83" s="9"/>
      <c r="AG83" s="189"/>
      <c r="AH83" s="189"/>
      <c r="AI83" s="189"/>
      <c r="AJ83" s="189"/>
      <c r="AK83" s="189"/>
      <c r="AL83" s="189"/>
      <c r="AM83" s="189"/>
      <c r="AN83" s="189"/>
      <c r="AO83" s="189"/>
      <c r="AP83" s="189"/>
      <c r="AQ83" s="189"/>
      <c r="AR83" s="189"/>
      <c r="AS83" s="189"/>
      <c r="AT83" s="189"/>
      <c r="AU83" s="189"/>
      <c r="AV83" s="189"/>
      <c r="AW83" s="189"/>
    </row>
    <row r="84" spans="1:49" outlineLevel="1">
      <c r="A84" s="12"/>
      <c r="B84" s="12"/>
      <c r="C84" s="12"/>
      <c r="D84" s="12"/>
      <c r="E84" s="12"/>
      <c r="F84" s="40">
        <f>Asset10</f>
        <v>0</v>
      </c>
      <c r="G84" s="169"/>
      <c r="H84" s="63"/>
      <c r="I84" s="63"/>
      <c r="J84" s="63"/>
      <c r="K84" s="63"/>
      <c r="L84" s="63"/>
      <c r="M84" s="63"/>
      <c r="N84" s="63"/>
      <c r="O84" s="63"/>
      <c r="P84" s="63"/>
      <c r="Q84" s="63"/>
      <c r="R84" s="92"/>
      <c r="S84" s="271"/>
      <c r="T84" s="92"/>
      <c r="U84" s="92"/>
      <c r="V84" s="92"/>
      <c r="W84" s="92"/>
      <c r="X84" s="92"/>
      <c r="Y84" s="92"/>
      <c r="Z84" s="9"/>
      <c r="AA84" s="9"/>
      <c r="AB84" s="9"/>
      <c r="AC84" s="9"/>
      <c r="AD84" s="9"/>
      <c r="AE84" s="9"/>
      <c r="AF84" s="9"/>
      <c r="AG84" s="189"/>
      <c r="AH84" s="189"/>
      <c r="AI84" s="189"/>
      <c r="AJ84" s="189"/>
      <c r="AK84" s="189"/>
      <c r="AL84" s="189"/>
      <c r="AM84" s="189"/>
      <c r="AN84" s="189"/>
      <c r="AO84" s="189"/>
      <c r="AP84" s="189"/>
      <c r="AQ84" s="189"/>
      <c r="AR84" s="189"/>
      <c r="AS84" s="189"/>
      <c r="AT84" s="189"/>
      <c r="AU84" s="189"/>
      <c r="AV84" s="189"/>
      <c r="AW84" s="189"/>
    </row>
    <row r="85" spans="1:49" outlineLevel="1">
      <c r="A85" s="12"/>
      <c r="B85" s="12"/>
      <c r="C85" s="12"/>
      <c r="D85" s="12"/>
      <c r="E85" s="12"/>
      <c r="F85" s="40">
        <f>Asset11</f>
        <v>0</v>
      </c>
      <c r="G85" s="169"/>
      <c r="H85" s="63"/>
      <c r="I85" s="63"/>
      <c r="J85" s="63"/>
      <c r="K85" s="63"/>
      <c r="L85" s="63"/>
      <c r="M85" s="63"/>
      <c r="N85" s="63"/>
      <c r="O85" s="63"/>
      <c r="P85" s="63"/>
      <c r="Q85" s="63"/>
      <c r="R85" s="92"/>
      <c r="S85" s="271"/>
      <c r="T85" s="92"/>
      <c r="U85" s="92"/>
      <c r="V85" s="92"/>
      <c r="W85" s="92"/>
      <c r="X85" s="92"/>
      <c r="Y85" s="92"/>
      <c r="Z85" s="9"/>
      <c r="AA85" s="9"/>
      <c r="AB85" s="9"/>
      <c r="AC85" s="9"/>
      <c r="AD85" s="9"/>
      <c r="AE85" s="9"/>
      <c r="AF85" s="9"/>
      <c r="AG85" s="189"/>
      <c r="AH85" s="189"/>
      <c r="AI85" s="189"/>
      <c r="AJ85" s="189"/>
      <c r="AK85" s="189"/>
      <c r="AL85" s="189"/>
      <c r="AM85" s="189"/>
      <c r="AN85" s="189"/>
      <c r="AO85" s="189"/>
      <c r="AP85" s="189"/>
      <c r="AQ85" s="189"/>
      <c r="AR85" s="189"/>
      <c r="AS85" s="189"/>
      <c r="AT85" s="189"/>
      <c r="AU85" s="189"/>
      <c r="AV85" s="189"/>
      <c r="AW85" s="189"/>
    </row>
    <row r="86" spans="1:49" outlineLevel="1">
      <c r="A86" s="12"/>
      <c r="B86" s="12"/>
      <c r="C86" s="12"/>
      <c r="D86" s="12"/>
      <c r="E86" s="12"/>
      <c r="F86" s="40">
        <f>Asset12</f>
        <v>0</v>
      </c>
      <c r="G86" s="169"/>
      <c r="H86" s="63"/>
      <c r="I86" s="63"/>
      <c r="J86" s="63"/>
      <c r="K86" s="63"/>
      <c r="L86" s="63"/>
      <c r="M86" s="63"/>
      <c r="N86" s="63"/>
      <c r="O86" s="63"/>
      <c r="P86" s="63"/>
      <c r="Q86" s="63"/>
      <c r="R86" s="92"/>
      <c r="S86" s="271"/>
      <c r="T86" s="92"/>
      <c r="U86" s="92"/>
      <c r="V86" s="92"/>
      <c r="W86" s="92"/>
      <c r="X86" s="92"/>
      <c r="Y86" s="92"/>
      <c r="Z86" s="9"/>
      <c r="AA86" s="9"/>
      <c r="AB86" s="9"/>
      <c r="AC86" s="9"/>
      <c r="AD86" s="9"/>
      <c r="AE86" s="9"/>
      <c r="AF86" s="9"/>
      <c r="AG86" s="189"/>
      <c r="AH86" s="189"/>
      <c r="AI86" s="189"/>
      <c r="AJ86" s="189"/>
      <c r="AK86" s="189"/>
      <c r="AL86" s="189"/>
      <c r="AM86" s="189"/>
      <c r="AN86" s="189"/>
      <c r="AO86" s="189"/>
      <c r="AP86" s="189"/>
      <c r="AQ86" s="189"/>
      <c r="AR86" s="189"/>
      <c r="AS86" s="189"/>
      <c r="AT86" s="189"/>
      <c r="AU86" s="189"/>
      <c r="AV86" s="189"/>
      <c r="AW86" s="189"/>
    </row>
    <row r="87" spans="1:49" outlineLevel="1">
      <c r="A87" s="12"/>
      <c r="B87" s="12"/>
      <c r="C87" s="12"/>
      <c r="D87" s="12"/>
      <c r="E87" s="12"/>
      <c r="F87" s="40">
        <f>Asset13</f>
        <v>0</v>
      </c>
      <c r="G87" s="169"/>
      <c r="H87" s="63"/>
      <c r="I87" s="63"/>
      <c r="J87" s="63"/>
      <c r="K87" s="63"/>
      <c r="L87" s="63"/>
      <c r="M87" s="63"/>
      <c r="N87" s="63"/>
      <c r="O87" s="63"/>
      <c r="P87" s="63"/>
      <c r="Q87" s="63"/>
      <c r="R87" s="92"/>
      <c r="S87" s="271"/>
      <c r="T87" s="92"/>
      <c r="U87" s="92"/>
      <c r="V87" s="92"/>
      <c r="W87" s="92"/>
      <c r="X87" s="92"/>
      <c r="Y87" s="92"/>
      <c r="Z87" s="9"/>
      <c r="AA87" s="9"/>
      <c r="AB87" s="9"/>
      <c r="AC87" s="9"/>
      <c r="AD87" s="9"/>
      <c r="AE87" s="9"/>
      <c r="AF87" s="9"/>
      <c r="AG87" s="189"/>
      <c r="AH87" s="189"/>
      <c r="AI87" s="189"/>
      <c r="AJ87" s="189"/>
      <c r="AK87" s="189"/>
      <c r="AL87" s="189"/>
      <c r="AM87" s="189"/>
      <c r="AN87" s="189"/>
      <c r="AO87" s="189"/>
      <c r="AP87" s="189"/>
      <c r="AQ87" s="189"/>
      <c r="AR87" s="189"/>
      <c r="AS87" s="189"/>
      <c r="AT87" s="189"/>
      <c r="AU87" s="189"/>
      <c r="AV87" s="189"/>
      <c r="AW87" s="189"/>
    </row>
    <row r="88" spans="1:49" outlineLevel="1">
      <c r="A88" s="12"/>
      <c r="B88" s="12"/>
      <c r="C88" s="12"/>
      <c r="D88" s="12"/>
      <c r="E88" s="12"/>
      <c r="F88" s="40">
        <f>Asset14</f>
        <v>0</v>
      </c>
      <c r="G88" s="169"/>
      <c r="H88" s="63"/>
      <c r="I88" s="63"/>
      <c r="J88" s="63"/>
      <c r="K88" s="63"/>
      <c r="L88" s="63"/>
      <c r="M88" s="63"/>
      <c r="N88" s="63"/>
      <c r="O88" s="63"/>
      <c r="P88" s="63"/>
      <c r="Q88" s="63"/>
      <c r="R88" s="92"/>
      <c r="S88" s="271"/>
      <c r="T88" s="92"/>
      <c r="U88" s="92"/>
      <c r="V88" s="92"/>
      <c r="W88" s="92"/>
      <c r="X88" s="92"/>
      <c r="Y88" s="92"/>
      <c r="Z88" s="9"/>
      <c r="AA88" s="9"/>
      <c r="AB88" s="9"/>
      <c r="AC88" s="9"/>
      <c r="AD88" s="9"/>
      <c r="AE88" s="9"/>
      <c r="AF88" s="9"/>
      <c r="AG88" s="189"/>
      <c r="AH88" s="189"/>
      <c r="AI88" s="189"/>
      <c r="AJ88" s="189"/>
      <c r="AK88" s="189"/>
      <c r="AL88" s="189"/>
      <c r="AM88" s="189"/>
      <c r="AN88" s="189"/>
      <c r="AO88" s="189"/>
      <c r="AP88" s="189"/>
      <c r="AQ88" s="189"/>
      <c r="AR88" s="189"/>
      <c r="AS88" s="189"/>
      <c r="AT88" s="189"/>
      <c r="AU88" s="189"/>
      <c r="AV88" s="189"/>
      <c r="AW88" s="189"/>
    </row>
    <row r="89" spans="1:49" outlineLevel="1">
      <c r="A89" s="12"/>
      <c r="B89" s="12"/>
      <c r="C89" s="12"/>
      <c r="D89" s="12"/>
      <c r="E89" s="12"/>
      <c r="F89" s="40">
        <f>Asset15</f>
        <v>0</v>
      </c>
      <c r="G89" s="169"/>
      <c r="H89" s="63"/>
      <c r="I89" s="63"/>
      <c r="J89" s="63"/>
      <c r="K89" s="63"/>
      <c r="L89" s="63"/>
      <c r="M89" s="63"/>
      <c r="N89" s="63"/>
      <c r="O89" s="63"/>
      <c r="P89" s="63"/>
      <c r="Q89" s="63"/>
      <c r="R89" s="92"/>
      <c r="S89" s="271"/>
      <c r="T89" s="92"/>
      <c r="U89" s="92"/>
      <c r="V89" s="92"/>
      <c r="W89" s="92"/>
      <c r="X89" s="92"/>
      <c r="Y89" s="92"/>
      <c r="Z89" s="9"/>
      <c r="AA89" s="9"/>
      <c r="AB89" s="9"/>
      <c r="AC89" s="9"/>
      <c r="AD89" s="9"/>
      <c r="AE89" s="9"/>
      <c r="AF89" s="9"/>
      <c r="AG89" s="189"/>
      <c r="AH89" s="189"/>
      <c r="AI89" s="189"/>
      <c r="AJ89" s="189"/>
      <c r="AK89" s="189"/>
      <c r="AL89" s="189"/>
      <c r="AM89" s="189"/>
      <c r="AN89" s="189"/>
      <c r="AO89" s="189"/>
      <c r="AP89" s="189"/>
      <c r="AQ89" s="189"/>
      <c r="AR89" s="189"/>
      <c r="AS89" s="189"/>
      <c r="AT89" s="189"/>
      <c r="AU89" s="189"/>
      <c r="AV89" s="189"/>
      <c r="AW89" s="189"/>
    </row>
    <row r="90" spans="1:49" outlineLevel="1">
      <c r="A90" s="12"/>
      <c r="B90" s="12"/>
      <c r="C90" s="12"/>
      <c r="D90" s="12"/>
      <c r="E90" s="12"/>
      <c r="F90" s="40">
        <f>Asset16</f>
        <v>0</v>
      </c>
      <c r="G90" s="169"/>
      <c r="H90" s="63"/>
      <c r="I90" s="63"/>
      <c r="J90" s="63"/>
      <c r="K90" s="63"/>
      <c r="L90" s="63"/>
      <c r="M90" s="63"/>
      <c r="N90" s="63"/>
      <c r="O90" s="63"/>
      <c r="P90" s="63"/>
      <c r="Q90" s="63"/>
      <c r="R90" s="92"/>
      <c r="S90" s="271"/>
      <c r="T90" s="92"/>
      <c r="U90" s="92"/>
      <c r="V90" s="92"/>
      <c r="W90" s="92"/>
      <c r="X90" s="92"/>
      <c r="Y90" s="92"/>
      <c r="Z90" s="9"/>
      <c r="AA90" s="9"/>
      <c r="AB90" s="9"/>
      <c r="AC90" s="9"/>
      <c r="AD90" s="9"/>
      <c r="AE90" s="9"/>
      <c r="AF90" s="9"/>
      <c r="AG90" s="189"/>
      <c r="AH90" s="189"/>
      <c r="AI90" s="189"/>
      <c r="AJ90" s="189"/>
      <c r="AK90" s="189"/>
      <c r="AL90" s="189"/>
      <c r="AM90" s="189"/>
      <c r="AN90" s="189"/>
      <c r="AO90" s="189"/>
      <c r="AP90" s="189"/>
      <c r="AQ90" s="189"/>
      <c r="AR90" s="189"/>
      <c r="AS90" s="189"/>
      <c r="AT90" s="189"/>
      <c r="AU90" s="189"/>
      <c r="AV90" s="189"/>
      <c r="AW90" s="189"/>
    </row>
    <row r="91" spans="1:49" outlineLevel="1">
      <c r="A91" s="12"/>
      <c r="B91" s="12"/>
      <c r="C91" s="12"/>
      <c r="D91" s="12"/>
      <c r="E91" s="12"/>
      <c r="F91" s="40">
        <f>Asset17</f>
        <v>0</v>
      </c>
      <c r="G91" s="169"/>
      <c r="H91" s="63"/>
      <c r="I91" s="63"/>
      <c r="J91" s="63"/>
      <c r="K91" s="63"/>
      <c r="L91" s="63"/>
      <c r="M91" s="63"/>
      <c r="N91" s="63"/>
      <c r="O91" s="63"/>
      <c r="P91" s="63"/>
      <c r="Q91" s="63"/>
      <c r="R91" s="92"/>
      <c r="S91" s="271"/>
      <c r="T91" s="92"/>
      <c r="U91" s="92"/>
      <c r="V91" s="92"/>
      <c r="W91" s="92"/>
      <c r="X91" s="92"/>
      <c r="Y91" s="92"/>
      <c r="Z91" s="9"/>
      <c r="AA91" s="9"/>
      <c r="AB91" s="9"/>
      <c r="AC91" s="9"/>
      <c r="AD91" s="9"/>
      <c r="AE91" s="9"/>
      <c r="AF91" s="9"/>
      <c r="AG91" s="189"/>
      <c r="AH91" s="189"/>
      <c r="AI91" s="189"/>
      <c r="AJ91" s="189"/>
      <c r="AK91" s="189"/>
      <c r="AL91" s="189"/>
      <c r="AM91" s="189"/>
      <c r="AN91" s="189"/>
      <c r="AO91" s="189"/>
      <c r="AP91" s="189"/>
      <c r="AQ91" s="189"/>
      <c r="AR91" s="189"/>
      <c r="AS91" s="189"/>
      <c r="AT91" s="189"/>
      <c r="AU91" s="189"/>
      <c r="AV91" s="189"/>
      <c r="AW91" s="189"/>
    </row>
    <row r="92" spans="1:49" outlineLevel="1">
      <c r="A92" s="12"/>
      <c r="B92" s="12"/>
      <c r="C92" s="12"/>
      <c r="D92" s="12"/>
      <c r="E92" s="12"/>
      <c r="F92" s="40">
        <f>Asset18</f>
        <v>0</v>
      </c>
      <c r="G92" s="169"/>
      <c r="H92" s="63"/>
      <c r="I92" s="63"/>
      <c r="J92" s="63"/>
      <c r="K92" s="63"/>
      <c r="L92" s="63"/>
      <c r="M92" s="63"/>
      <c r="N92" s="63"/>
      <c r="O92" s="63"/>
      <c r="P92" s="63"/>
      <c r="Q92" s="63"/>
      <c r="R92" s="92"/>
      <c r="S92" s="271"/>
      <c r="T92" s="92"/>
      <c r="U92" s="92"/>
      <c r="V92" s="92"/>
      <c r="W92" s="92"/>
      <c r="X92" s="92"/>
      <c r="Y92" s="92"/>
      <c r="Z92" s="9"/>
      <c r="AA92" s="9"/>
      <c r="AB92" s="9"/>
      <c r="AC92" s="9"/>
      <c r="AD92" s="9"/>
      <c r="AE92" s="9"/>
      <c r="AF92" s="9"/>
      <c r="AG92" s="189"/>
      <c r="AH92" s="189"/>
      <c r="AI92" s="189"/>
      <c r="AJ92" s="189"/>
      <c r="AK92" s="189"/>
      <c r="AL92" s="189"/>
      <c r="AM92" s="189"/>
      <c r="AN92" s="189"/>
      <c r="AO92" s="189"/>
      <c r="AP92" s="189"/>
      <c r="AQ92" s="189"/>
      <c r="AR92" s="189"/>
      <c r="AS92" s="189"/>
      <c r="AT92" s="189"/>
      <c r="AU92" s="189"/>
      <c r="AV92" s="189"/>
      <c r="AW92" s="189"/>
    </row>
    <row r="93" spans="1:49" outlineLevel="1">
      <c r="A93" s="12"/>
      <c r="B93" s="12"/>
      <c r="C93" s="12"/>
      <c r="D93" s="12"/>
      <c r="E93" s="12"/>
      <c r="F93" s="40">
        <f>Asset19</f>
        <v>0</v>
      </c>
      <c r="G93" s="169"/>
      <c r="H93" s="63"/>
      <c r="I93" s="63"/>
      <c r="J93" s="63"/>
      <c r="K93" s="63"/>
      <c r="L93" s="63"/>
      <c r="M93" s="63"/>
      <c r="N93" s="63"/>
      <c r="O93" s="63"/>
      <c r="P93" s="63"/>
      <c r="Q93" s="63"/>
      <c r="R93" s="92"/>
      <c r="S93" s="271"/>
      <c r="T93" s="92"/>
      <c r="U93" s="92"/>
      <c r="V93" s="92"/>
      <c r="W93" s="92"/>
      <c r="X93" s="92"/>
      <c r="Y93" s="92"/>
      <c r="Z93" s="9"/>
      <c r="AA93" s="9"/>
      <c r="AB93" s="9"/>
      <c r="AC93" s="9"/>
      <c r="AD93" s="9"/>
      <c r="AE93" s="9"/>
      <c r="AF93" s="9"/>
      <c r="AG93" s="189"/>
      <c r="AH93" s="189"/>
      <c r="AI93" s="189"/>
      <c r="AJ93" s="189"/>
      <c r="AK93" s="189"/>
      <c r="AL93" s="189"/>
      <c r="AM93" s="189"/>
      <c r="AN93" s="189"/>
      <c r="AO93" s="189"/>
      <c r="AP93" s="189"/>
      <c r="AQ93" s="189"/>
      <c r="AR93" s="189"/>
      <c r="AS93" s="189"/>
      <c r="AT93" s="189"/>
      <c r="AU93" s="189"/>
      <c r="AV93" s="189"/>
      <c r="AW93" s="189"/>
    </row>
    <row r="94" spans="1:49" outlineLevel="1">
      <c r="A94" s="12"/>
      <c r="B94" s="12"/>
      <c r="C94" s="12"/>
      <c r="D94" s="12"/>
      <c r="E94" s="12"/>
      <c r="F94" s="40">
        <f>Asset20</f>
        <v>0</v>
      </c>
      <c r="G94" s="169"/>
      <c r="H94" s="63"/>
      <c r="I94" s="63"/>
      <c r="J94" s="63"/>
      <c r="K94" s="63"/>
      <c r="L94" s="63"/>
      <c r="M94" s="63"/>
      <c r="N94" s="63"/>
      <c r="O94" s="63"/>
      <c r="P94" s="63"/>
      <c r="Q94" s="63"/>
      <c r="R94" s="92"/>
      <c r="S94" s="273"/>
      <c r="T94" s="92"/>
      <c r="U94" s="92"/>
      <c r="V94" s="92"/>
      <c r="W94" s="92"/>
      <c r="X94" s="92"/>
      <c r="Y94" s="92"/>
      <c r="Z94" s="9"/>
      <c r="AA94" s="9"/>
      <c r="AB94" s="9"/>
      <c r="AC94" s="9"/>
      <c r="AD94" s="9"/>
      <c r="AE94" s="9"/>
      <c r="AF94" s="9"/>
      <c r="AG94" s="189"/>
      <c r="AH94" s="189"/>
      <c r="AI94" s="189"/>
      <c r="AJ94" s="189"/>
      <c r="AK94" s="189"/>
      <c r="AL94" s="189"/>
      <c r="AM94" s="189"/>
      <c r="AN94" s="189"/>
      <c r="AO94" s="189"/>
      <c r="AP94" s="189"/>
      <c r="AQ94" s="189"/>
      <c r="AR94" s="189"/>
      <c r="AS94" s="189"/>
      <c r="AT94" s="189"/>
      <c r="AU94" s="189"/>
      <c r="AV94" s="189"/>
      <c r="AW94" s="189"/>
    </row>
    <row r="95" spans="1:49" outlineLevel="1">
      <c r="A95" s="12"/>
      <c r="B95" s="12"/>
      <c r="C95" s="12"/>
      <c r="D95" s="12"/>
      <c r="E95" s="12"/>
      <c r="F95" s="40">
        <f>Asset21</f>
        <v>0</v>
      </c>
      <c r="G95" s="169"/>
      <c r="H95" s="63"/>
      <c r="I95" s="63"/>
      <c r="J95" s="63"/>
      <c r="K95" s="63"/>
      <c r="L95" s="63"/>
      <c r="M95" s="63"/>
      <c r="N95" s="63"/>
      <c r="O95" s="63"/>
      <c r="P95" s="63"/>
      <c r="Q95" s="63"/>
      <c r="R95" s="92"/>
      <c r="S95" s="274"/>
      <c r="T95" s="92"/>
      <c r="U95" s="92"/>
      <c r="V95" s="92"/>
      <c r="W95" s="92"/>
      <c r="X95" s="92"/>
      <c r="Y95" s="92"/>
      <c r="Z95" s="9"/>
      <c r="AA95" s="9"/>
      <c r="AB95" s="9"/>
      <c r="AC95" s="9"/>
      <c r="AD95" s="9"/>
      <c r="AE95" s="9"/>
      <c r="AF95" s="9"/>
      <c r="AG95" s="189"/>
      <c r="AH95" s="189"/>
      <c r="AI95" s="189"/>
      <c r="AJ95" s="189"/>
      <c r="AK95" s="189"/>
      <c r="AL95" s="189"/>
      <c r="AM95" s="189"/>
      <c r="AN95" s="189"/>
      <c r="AO95" s="189"/>
      <c r="AP95" s="189"/>
      <c r="AQ95" s="189"/>
      <c r="AR95" s="189"/>
      <c r="AS95" s="189"/>
      <c r="AT95" s="189"/>
      <c r="AU95" s="189"/>
      <c r="AV95" s="189"/>
      <c r="AW95" s="189"/>
    </row>
    <row r="96" spans="1:49" outlineLevel="1">
      <c r="A96" s="12"/>
      <c r="B96" s="12"/>
      <c r="C96" s="12"/>
      <c r="D96" s="12"/>
      <c r="E96" s="12"/>
      <c r="F96" s="40">
        <f>Asset22</f>
        <v>0</v>
      </c>
      <c r="G96" s="169"/>
      <c r="H96" s="63"/>
      <c r="I96" s="63"/>
      <c r="J96" s="63"/>
      <c r="K96" s="63"/>
      <c r="L96" s="63"/>
      <c r="M96" s="63"/>
      <c r="N96" s="63"/>
      <c r="O96" s="63"/>
      <c r="P96" s="63"/>
      <c r="Q96" s="63"/>
      <c r="R96" s="92"/>
      <c r="S96" s="274"/>
      <c r="T96" s="92"/>
      <c r="U96" s="92"/>
      <c r="V96" s="92"/>
      <c r="W96" s="92"/>
      <c r="X96" s="92"/>
      <c r="Y96" s="92"/>
      <c r="Z96" s="9"/>
      <c r="AA96" s="9"/>
      <c r="AB96" s="9"/>
      <c r="AC96" s="9"/>
      <c r="AD96" s="9"/>
      <c r="AE96" s="9"/>
      <c r="AF96" s="9"/>
      <c r="AG96" s="189"/>
      <c r="AH96" s="189"/>
      <c r="AI96" s="189"/>
      <c r="AJ96" s="189"/>
      <c r="AK96" s="189"/>
      <c r="AL96" s="189"/>
      <c r="AM96" s="189"/>
      <c r="AN96" s="189"/>
      <c r="AO96" s="189"/>
      <c r="AP96" s="189"/>
      <c r="AQ96" s="189"/>
      <c r="AR96" s="189"/>
      <c r="AS96" s="189"/>
      <c r="AT96" s="189"/>
      <c r="AU96" s="189"/>
      <c r="AV96" s="189"/>
      <c r="AW96" s="189"/>
    </row>
    <row r="97" spans="1:49" outlineLevel="1">
      <c r="A97" s="12"/>
      <c r="B97" s="12"/>
      <c r="C97" s="12"/>
      <c r="D97" s="12"/>
      <c r="E97" s="12"/>
      <c r="F97" s="40">
        <f>Asset23</f>
        <v>0</v>
      </c>
      <c r="G97" s="169"/>
      <c r="H97" s="63"/>
      <c r="I97" s="63"/>
      <c r="J97" s="63"/>
      <c r="K97" s="63"/>
      <c r="L97" s="63"/>
      <c r="M97" s="63"/>
      <c r="N97" s="63"/>
      <c r="O97" s="63"/>
      <c r="P97" s="63"/>
      <c r="Q97" s="63"/>
      <c r="R97" s="92"/>
      <c r="S97" s="274"/>
      <c r="T97" s="92"/>
      <c r="U97" s="92"/>
      <c r="V97" s="92"/>
      <c r="W97" s="92"/>
      <c r="X97" s="92"/>
      <c r="Y97" s="92"/>
      <c r="Z97" s="9"/>
      <c r="AA97" s="9"/>
      <c r="AB97" s="9"/>
      <c r="AC97" s="9"/>
      <c r="AD97" s="9"/>
      <c r="AE97" s="9"/>
      <c r="AF97" s="9"/>
      <c r="AG97" s="189"/>
      <c r="AH97" s="189"/>
      <c r="AI97" s="189"/>
      <c r="AJ97" s="189"/>
      <c r="AK97" s="189"/>
      <c r="AL97" s="189"/>
      <c r="AM97" s="189"/>
      <c r="AN97" s="189"/>
      <c r="AO97" s="189"/>
      <c r="AP97" s="189"/>
      <c r="AQ97" s="189"/>
      <c r="AR97" s="189"/>
      <c r="AS97" s="189"/>
      <c r="AT97" s="189"/>
      <c r="AU97" s="189"/>
      <c r="AV97" s="189"/>
      <c r="AW97" s="189"/>
    </row>
    <row r="98" spans="1:49" outlineLevel="1">
      <c r="A98" s="12"/>
      <c r="B98" s="12"/>
      <c r="C98" s="12"/>
      <c r="D98" s="12"/>
      <c r="E98" s="12"/>
      <c r="F98" s="40">
        <f>Asset24</f>
        <v>0</v>
      </c>
      <c r="G98" s="169"/>
      <c r="H98" s="63"/>
      <c r="I98" s="63"/>
      <c r="J98" s="63"/>
      <c r="K98" s="63"/>
      <c r="L98" s="63"/>
      <c r="M98" s="63"/>
      <c r="N98" s="63"/>
      <c r="O98" s="63"/>
      <c r="P98" s="63"/>
      <c r="Q98" s="63"/>
      <c r="R98" s="92"/>
      <c r="S98" s="274"/>
      <c r="T98" s="92"/>
      <c r="U98" s="92"/>
      <c r="V98" s="92"/>
      <c r="W98" s="92"/>
      <c r="X98" s="92"/>
      <c r="Y98" s="92"/>
      <c r="Z98" s="9"/>
      <c r="AA98" s="9"/>
      <c r="AB98" s="9"/>
      <c r="AC98" s="9"/>
      <c r="AD98" s="9"/>
      <c r="AE98" s="9"/>
      <c r="AF98" s="9"/>
      <c r="AG98" s="189"/>
      <c r="AH98" s="189"/>
      <c r="AI98" s="189"/>
      <c r="AJ98" s="189"/>
      <c r="AK98" s="189"/>
      <c r="AL98" s="189"/>
      <c r="AM98" s="189"/>
      <c r="AN98" s="189"/>
      <c r="AO98" s="189"/>
      <c r="AP98" s="189"/>
      <c r="AQ98" s="189"/>
      <c r="AR98" s="189"/>
      <c r="AS98" s="189"/>
      <c r="AT98" s="189"/>
      <c r="AU98" s="189"/>
      <c r="AV98" s="189"/>
      <c r="AW98" s="189"/>
    </row>
    <row r="99" spans="1:49" outlineLevel="1">
      <c r="A99" s="12"/>
      <c r="B99" s="12"/>
      <c r="C99" s="12"/>
      <c r="D99" s="12"/>
      <c r="E99" s="12"/>
      <c r="F99" s="40">
        <f>Asset25</f>
        <v>0</v>
      </c>
      <c r="G99" s="169"/>
      <c r="H99" s="63"/>
      <c r="I99" s="63"/>
      <c r="J99" s="63"/>
      <c r="K99" s="63"/>
      <c r="L99" s="63"/>
      <c r="M99" s="63"/>
      <c r="N99" s="63"/>
      <c r="O99" s="63"/>
      <c r="P99" s="63"/>
      <c r="Q99" s="63"/>
      <c r="R99" s="92"/>
      <c r="S99" s="274"/>
      <c r="T99" s="92"/>
      <c r="U99" s="92"/>
      <c r="V99" s="92"/>
      <c r="W99" s="92"/>
      <c r="X99" s="92"/>
      <c r="Y99" s="92"/>
      <c r="Z99" s="9"/>
      <c r="AA99" s="9"/>
      <c r="AB99" s="9"/>
      <c r="AC99" s="9"/>
      <c r="AD99" s="9"/>
      <c r="AE99" s="9"/>
      <c r="AF99" s="9"/>
      <c r="AG99" s="189"/>
      <c r="AH99" s="189"/>
      <c r="AI99" s="189"/>
      <c r="AJ99" s="189"/>
      <c r="AK99" s="189"/>
      <c r="AL99" s="189"/>
      <c r="AM99" s="189"/>
      <c r="AN99" s="189"/>
      <c r="AO99" s="189"/>
      <c r="AP99" s="189"/>
      <c r="AQ99" s="189"/>
      <c r="AR99" s="189"/>
      <c r="AS99" s="189"/>
      <c r="AT99" s="189"/>
      <c r="AU99" s="189"/>
      <c r="AV99" s="189"/>
      <c r="AW99" s="189"/>
    </row>
    <row r="100" spans="1:49" outlineLevel="1">
      <c r="A100" s="12"/>
      <c r="B100" s="12"/>
      <c r="C100" s="12"/>
      <c r="D100" s="12"/>
      <c r="E100" s="12"/>
      <c r="F100" s="40">
        <f>Asset26</f>
        <v>0</v>
      </c>
      <c r="G100" s="169"/>
      <c r="H100" s="63"/>
      <c r="I100" s="63"/>
      <c r="J100" s="63"/>
      <c r="K100" s="63"/>
      <c r="L100" s="63"/>
      <c r="M100" s="63"/>
      <c r="N100" s="63"/>
      <c r="O100" s="63"/>
      <c r="P100" s="63"/>
      <c r="Q100" s="63"/>
      <c r="R100" s="92"/>
      <c r="S100" s="274"/>
      <c r="T100" s="92"/>
      <c r="U100" s="92"/>
      <c r="V100" s="92"/>
      <c r="W100" s="92"/>
      <c r="X100" s="92"/>
      <c r="Y100" s="92"/>
      <c r="Z100" s="9"/>
      <c r="AA100" s="9"/>
      <c r="AB100" s="9"/>
      <c r="AC100" s="9"/>
      <c r="AD100" s="9"/>
      <c r="AE100" s="9"/>
      <c r="AF100" s="9"/>
      <c r="AG100" s="189"/>
      <c r="AH100" s="189"/>
      <c r="AI100" s="189"/>
      <c r="AJ100" s="189"/>
      <c r="AK100" s="189"/>
      <c r="AL100" s="189"/>
      <c r="AM100" s="189"/>
      <c r="AN100" s="189"/>
      <c r="AO100" s="189"/>
      <c r="AP100" s="189"/>
      <c r="AQ100" s="189"/>
      <c r="AR100" s="189"/>
      <c r="AS100" s="189"/>
      <c r="AT100" s="189"/>
      <c r="AU100" s="189"/>
      <c r="AV100" s="189"/>
      <c r="AW100" s="189"/>
    </row>
    <row r="101" spans="1:49" outlineLevel="1">
      <c r="A101" s="12"/>
      <c r="B101" s="12"/>
      <c r="C101" s="12"/>
      <c r="D101" s="12"/>
      <c r="E101" s="12"/>
      <c r="F101" s="40">
        <f>Asset27</f>
        <v>0</v>
      </c>
      <c r="G101" s="169"/>
      <c r="H101" s="63"/>
      <c r="I101" s="63"/>
      <c r="J101" s="63"/>
      <c r="K101" s="63"/>
      <c r="L101" s="63"/>
      <c r="M101" s="63"/>
      <c r="N101" s="63"/>
      <c r="O101" s="63"/>
      <c r="P101" s="63"/>
      <c r="Q101" s="63"/>
      <c r="R101" s="92"/>
      <c r="S101" s="274"/>
      <c r="T101" s="92"/>
      <c r="U101" s="92"/>
      <c r="V101" s="92"/>
      <c r="W101" s="92"/>
      <c r="X101" s="92"/>
      <c r="Y101" s="92"/>
      <c r="Z101" s="9"/>
      <c r="AA101" s="9"/>
      <c r="AB101" s="9"/>
      <c r="AC101" s="9"/>
      <c r="AD101" s="9"/>
      <c r="AE101" s="9"/>
      <c r="AF101" s="9"/>
      <c r="AG101" s="189"/>
      <c r="AH101" s="189"/>
      <c r="AI101" s="189"/>
      <c r="AJ101" s="189"/>
      <c r="AK101" s="189"/>
      <c r="AL101" s="189"/>
      <c r="AM101" s="189"/>
      <c r="AN101" s="189"/>
      <c r="AO101" s="189"/>
      <c r="AP101" s="189"/>
      <c r="AQ101" s="189"/>
      <c r="AR101" s="189"/>
      <c r="AS101" s="189"/>
      <c r="AT101" s="189"/>
      <c r="AU101" s="189"/>
      <c r="AV101" s="189"/>
      <c r="AW101" s="189"/>
    </row>
    <row r="102" spans="1:49" outlineLevel="1">
      <c r="A102" s="12"/>
      <c r="B102" s="12"/>
      <c r="C102" s="12"/>
      <c r="D102" s="12"/>
      <c r="E102" s="12"/>
      <c r="F102" s="40">
        <f>Asset28</f>
        <v>0</v>
      </c>
      <c r="G102" s="169"/>
      <c r="H102" s="63"/>
      <c r="I102" s="63"/>
      <c r="J102" s="63"/>
      <c r="K102" s="63"/>
      <c r="L102" s="63"/>
      <c r="M102" s="63"/>
      <c r="N102" s="63"/>
      <c r="O102" s="63"/>
      <c r="P102" s="63"/>
      <c r="Q102" s="63"/>
      <c r="R102" s="92"/>
      <c r="S102" s="274"/>
      <c r="T102" s="92"/>
      <c r="U102" s="92"/>
      <c r="V102" s="92"/>
      <c r="W102" s="92"/>
      <c r="X102" s="92"/>
      <c r="Y102" s="92"/>
      <c r="Z102" s="9"/>
      <c r="AA102" s="9"/>
      <c r="AB102" s="9"/>
      <c r="AC102" s="9"/>
      <c r="AD102" s="9"/>
      <c r="AE102" s="9"/>
      <c r="AF102" s="9"/>
      <c r="AG102" s="189"/>
      <c r="AH102" s="189"/>
      <c r="AI102" s="189"/>
      <c r="AJ102" s="189"/>
      <c r="AK102" s="189"/>
      <c r="AL102" s="189"/>
      <c r="AM102" s="189"/>
      <c r="AN102" s="189"/>
      <c r="AO102" s="189"/>
      <c r="AP102" s="189"/>
      <c r="AQ102" s="189"/>
      <c r="AR102" s="189"/>
      <c r="AS102" s="189"/>
      <c r="AT102" s="189"/>
      <c r="AU102" s="189"/>
      <c r="AV102" s="189"/>
      <c r="AW102" s="189"/>
    </row>
    <row r="103" spans="1:49" outlineLevel="1">
      <c r="A103" s="12"/>
      <c r="B103" s="12"/>
      <c r="C103" s="12"/>
      <c r="D103" s="12"/>
      <c r="E103" s="12"/>
      <c r="F103" s="40">
        <f>Asset29</f>
        <v>0</v>
      </c>
      <c r="G103" s="169"/>
      <c r="H103" s="63"/>
      <c r="I103" s="63"/>
      <c r="J103" s="63"/>
      <c r="K103" s="63"/>
      <c r="L103" s="63"/>
      <c r="M103" s="63"/>
      <c r="N103" s="63"/>
      <c r="O103" s="63"/>
      <c r="P103" s="63"/>
      <c r="Q103" s="63"/>
      <c r="R103" s="92"/>
      <c r="S103" s="92"/>
      <c r="T103" s="92"/>
      <c r="U103" s="92"/>
      <c r="V103" s="92"/>
      <c r="W103" s="92"/>
      <c r="X103" s="92"/>
      <c r="Y103" s="92"/>
      <c r="Z103" s="9"/>
      <c r="AA103" s="9"/>
      <c r="AB103" s="9"/>
      <c r="AC103" s="9"/>
      <c r="AD103" s="9"/>
      <c r="AE103" s="9"/>
      <c r="AF103" s="9"/>
      <c r="AG103" s="189"/>
      <c r="AH103" s="189"/>
      <c r="AI103" s="189"/>
      <c r="AJ103" s="189"/>
      <c r="AK103" s="189"/>
      <c r="AL103" s="189"/>
      <c r="AM103" s="189"/>
      <c r="AN103" s="189"/>
      <c r="AO103" s="189"/>
      <c r="AP103" s="189"/>
      <c r="AQ103" s="189"/>
      <c r="AR103" s="189"/>
      <c r="AS103" s="189"/>
      <c r="AT103" s="189"/>
      <c r="AU103" s="189"/>
      <c r="AV103" s="189"/>
      <c r="AW103" s="189"/>
    </row>
    <row r="104" spans="1:49" outlineLevel="1">
      <c r="A104" s="12"/>
      <c r="B104" s="12"/>
      <c r="C104" s="12"/>
      <c r="D104" s="12"/>
      <c r="E104" s="12"/>
      <c r="F104" s="40">
        <f>Asset30</f>
        <v>0</v>
      </c>
      <c r="G104" s="169"/>
      <c r="H104" s="63"/>
      <c r="I104" s="63"/>
      <c r="J104" s="63"/>
      <c r="K104" s="63"/>
      <c r="L104" s="63"/>
      <c r="M104" s="63"/>
      <c r="N104" s="63"/>
      <c r="O104" s="63"/>
      <c r="P104" s="63"/>
      <c r="Q104" s="63"/>
      <c r="R104" s="92"/>
      <c r="S104" s="275"/>
      <c r="T104" s="92"/>
      <c r="U104" s="92"/>
      <c r="V104" s="92"/>
      <c r="W104" s="92"/>
      <c r="X104" s="92"/>
      <c r="Y104" s="92"/>
      <c r="Z104" s="9"/>
      <c r="AA104" s="9"/>
      <c r="AB104" s="9"/>
      <c r="AC104" s="9"/>
      <c r="AD104" s="9"/>
      <c r="AE104" s="9"/>
      <c r="AF104" s="9"/>
      <c r="AG104" s="189"/>
      <c r="AH104" s="189"/>
      <c r="AI104" s="189"/>
      <c r="AJ104" s="189"/>
      <c r="AK104" s="189"/>
      <c r="AL104" s="189"/>
      <c r="AM104" s="189"/>
      <c r="AN104" s="189"/>
      <c r="AO104" s="189"/>
      <c r="AP104" s="189"/>
      <c r="AQ104" s="189"/>
      <c r="AR104" s="189"/>
      <c r="AS104" s="189"/>
      <c r="AT104" s="189"/>
      <c r="AU104" s="189"/>
      <c r="AV104" s="189"/>
      <c r="AW104" s="189"/>
    </row>
    <row r="105" spans="1:49">
      <c r="A105" s="12"/>
      <c r="B105" s="12"/>
      <c r="C105" s="12"/>
      <c r="D105" s="12"/>
      <c r="E105" s="12"/>
      <c r="F105" s="40" t="s">
        <v>22</v>
      </c>
      <c r="G105" s="235">
        <f t="shared" ref="G105:Q105" si="11">SUM(G75:G104)</f>
        <v>5.8063160000000003E-2</v>
      </c>
      <c r="H105" s="235">
        <f t="shared" si="11"/>
        <v>1.0092501999999999</v>
      </c>
      <c r="I105" s="235">
        <f t="shared" si="11"/>
        <v>0.39294074000000001</v>
      </c>
      <c r="J105" s="235">
        <f t="shared" si="11"/>
        <v>0</v>
      </c>
      <c r="K105" s="235">
        <f t="shared" si="11"/>
        <v>0.21054274000000001</v>
      </c>
      <c r="L105" s="235">
        <f t="shared" si="11"/>
        <v>0</v>
      </c>
      <c r="M105" s="235">
        <f t="shared" si="11"/>
        <v>0</v>
      </c>
      <c r="N105" s="235">
        <f t="shared" si="11"/>
        <v>0</v>
      </c>
      <c r="O105" s="235">
        <f t="shared" si="11"/>
        <v>0</v>
      </c>
      <c r="P105" s="235">
        <f t="shared" si="11"/>
        <v>0</v>
      </c>
      <c r="Q105" s="235">
        <f t="shared" si="11"/>
        <v>0</v>
      </c>
      <c r="R105" s="38"/>
      <c r="S105" s="38"/>
      <c r="T105" s="235"/>
      <c r="U105" s="235"/>
      <c r="V105" s="235"/>
      <c r="W105" s="235"/>
      <c r="X105" s="235"/>
      <c r="Y105" s="235"/>
      <c r="Z105" s="48"/>
      <c r="AA105" s="8"/>
      <c r="AB105" s="8"/>
      <c r="AC105" s="44"/>
      <c r="AD105" s="9"/>
      <c r="AE105" s="9"/>
      <c r="AF105" s="9"/>
      <c r="AG105" s="189"/>
      <c r="AH105" s="189"/>
      <c r="AI105" s="189"/>
      <c r="AJ105" s="189"/>
      <c r="AK105" s="189"/>
      <c r="AL105" s="189"/>
      <c r="AM105" s="189"/>
      <c r="AN105" s="189"/>
      <c r="AO105" s="189"/>
      <c r="AP105" s="189"/>
      <c r="AQ105" s="189"/>
      <c r="AR105" s="189"/>
      <c r="AS105" s="189"/>
      <c r="AT105" s="189"/>
      <c r="AU105" s="189"/>
      <c r="AV105" s="189"/>
      <c r="AW105" s="189"/>
    </row>
    <row r="106" spans="1:49" ht="20.25" customHeight="1">
      <c r="A106" s="12"/>
      <c r="B106" s="12"/>
      <c r="C106" s="12"/>
      <c r="D106" s="12"/>
      <c r="F106" s="9"/>
      <c r="G106" s="9"/>
      <c r="H106" s="18"/>
      <c r="I106" s="20"/>
      <c r="J106" s="9"/>
      <c r="K106" s="9"/>
      <c r="L106" s="9"/>
      <c r="M106" s="9"/>
      <c r="N106" s="9"/>
      <c r="O106" s="9"/>
      <c r="P106" s="9"/>
      <c r="Q106" s="9"/>
      <c r="R106" s="234">
        <f>SUM(G105:Q105)</f>
        <v>1.6707968399999999</v>
      </c>
      <c r="S106" s="234"/>
      <c r="T106" s="234"/>
      <c r="U106" s="9"/>
      <c r="V106" s="9"/>
      <c r="W106" s="9"/>
      <c r="X106" s="9"/>
      <c r="Y106" s="9"/>
      <c r="Z106" s="9"/>
      <c r="AA106" s="9"/>
      <c r="AB106" s="9"/>
      <c r="AC106" s="19"/>
      <c r="AD106" s="9"/>
      <c r="AE106" s="9"/>
      <c r="AF106" s="9"/>
      <c r="AG106" s="189"/>
      <c r="AH106" s="189"/>
      <c r="AI106" s="189"/>
      <c r="AJ106" s="189"/>
      <c r="AK106" s="189"/>
      <c r="AL106" s="189"/>
      <c r="AM106" s="189"/>
      <c r="AN106" s="189"/>
      <c r="AO106" s="189"/>
      <c r="AP106" s="189"/>
      <c r="AQ106" s="189"/>
      <c r="AR106" s="189"/>
      <c r="AS106" s="189"/>
      <c r="AT106" s="189"/>
      <c r="AU106" s="189"/>
      <c r="AV106" s="189"/>
      <c r="AW106" s="189"/>
    </row>
    <row r="107" spans="1:49" ht="13.5" customHeight="1">
      <c r="A107" s="74"/>
      <c r="B107" s="74"/>
      <c r="C107" s="74"/>
      <c r="D107" s="74"/>
      <c r="E107" s="74"/>
      <c r="F107" s="162" t="s">
        <v>91</v>
      </c>
      <c r="G107" s="162"/>
      <c r="H107" s="162"/>
      <c r="I107" s="162"/>
      <c r="J107" s="162"/>
      <c r="K107" s="77"/>
      <c r="L107" s="77"/>
      <c r="M107" s="75"/>
      <c r="N107" s="75"/>
      <c r="O107" s="75"/>
      <c r="P107" s="75"/>
      <c r="Q107" s="75"/>
      <c r="R107" s="75"/>
      <c r="S107" s="75"/>
      <c r="T107" s="75"/>
      <c r="U107" s="75"/>
      <c r="V107" s="75"/>
      <c r="W107" s="75"/>
      <c r="X107" s="75"/>
      <c r="Y107" s="75"/>
      <c r="Z107" s="8"/>
      <c r="AA107" s="8"/>
      <c r="AB107" s="8"/>
      <c r="AC107" s="8"/>
      <c r="AD107" s="44"/>
      <c r="AE107" s="9"/>
      <c r="AF107" s="9"/>
      <c r="AG107" s="189"/>
      <c r="AH107" s="189"/>
      <c r="AI107" s="189"/>
      <c r="AJ107" s="189"/>
      <c r="AK107" s="189"/>
      <c r="AL107" s="189"/>
      <c r="AM107" s="189"/>
      <c r="AN107" s="189"/>
      <c r="AO107" s="189"/>
      <c r="AP107" s="189"/>
      <c r="AQ107" s="189"/>
      <c r="AR107" s="189"/>
      <c r="AS107" s="189"/>
      <c r="AT107" s="189"/>
      <c r="AU107" s="189"/>
      <c r="AV107" s="189"/>
      <c r="AW107" s="189"/>
    </row>
    <row r="108" spans="1:49">
      <c r="A108" s="12"/>
      <c r="B108" s="12"/>
      <c r="C108" s="12"/>
      <c r="D108" s="12"/>
      <c r="E108" s="12"/>
      <c r="F108" s="39" t="s">
        <v>5</v>
      </c>
      <c r="G108" s="233">
        <f>G74</f>
        <v>2010</v>
      </c>
      <c r="H108" s="233">
        <f t="shared" ref="H108:Q108" si="12">H74</f>
        <v>2011</v>
      </c>
      <c r="I108" s="233">
        <f t="shared" si="12"/>
        <v>2012</v>
      </c>
      <c r="J108" s="233">
        <f t="shared" si="12"/>
        <v>2013</v>
      </c>
      <c r="K108" s="233">
        <f t="shared" si="12"/>
        <v>2014</v>
      </c>
      <c r="L108" s="233">
        <f t="shared" si="12"/>
        <v>2015</v>
      </c>
      <c r="M108" s="233">
        <f t="shared" si="12"/>
        <v>2016</v>
      </c>
      <c r="N108" s="233">
        <f t="shared" si="12"/>
        <v>2017</v>
      </c>
      <c r="O108" s="233">
        <f t="shared" si="12"/>
        <v>2018</v>
      </c>
      <c r="P108" s="233">
        <f t="shared" si="12"/>
        <v>2019</v>
      </c>
      <c r="Q108" s="233">
        <f t="shared" si="12"/>
        <v>2020</v>
      </c>
      <c r="R108" s="8"/>
      <c r="S108" s="8"/>
      <c r="T108" s="267"/>
      <c r="U108" s="267"/>
      <c r="V108" s="267"/>
      <c r="W108" s="267"/>
      <c r="X108" s="267"/>
      <c r="Y108" s="267"/>
      <c r="Z108" s="9"/>
      <c r="AA108" s="9"/>
      <c r="AB108" s="9"/>
      <c r="AC108" s="9"/>
      <c r="AD108" s="9"/>
      <c r="AE108" s="9"/>
      <c r="AF108" s="9"/>
      <c r="AG108" s="189"/>
      <c r="AH108" s="189"/>
      <c r="AI108" s="189"/>
      <c r="AJ108" s="189"/>
      <c r="AK108" s="189"/>
      <c r="AL108" s="189"/>
      <c r="AM108" s="189"/>
      <c r="AN108" s="189"/>
      <c r="AO108" s="189"/>
      <c r="AP108" s="189"/>
      <c r="AQ108" s="189"/>
      <c r="AR108" s="189"/>
      <c r="AS108" s="189"/>
      <c r="AT108" s="189"/>
      <c r="AU108" s="189"/>
      <c r="AV108" s="189"/>
      <c r="AW108" s="189"/>
    </row>
    <row r="109" spans="1:49" outlineLevel="1">
      <c r="A109" s="12"/>
      <c r="B109" s="12"/>
      <c r="C109" s="12"/>
      <c r="D109" s="12"/>
      <c r="E109" s="12"/>
      <c r="F109" s="40" t="str">
        <f>Asset1</f>
        <v>Subtransmission</v>
      </c>
      <c r="G109" s="427">
        <v>7.2417105801877657</v>
      </c>
      <c r="H109" s="326">
        <v>13.391845477692092</v>
      </c>
      <c r="I109" s="326">
        <v>4.8665032693208596</v>
      </c>
      <c r="J109" s="326">
        <v>9.5750350871068175</v>
      </c>
      <c r="K109" s="326">
        <v>4.4643074742756523</v>
      </c>
      <c r="L109" s="326">
        <v>6.0381258854359157</v>
      </c>
      <c r="M109" s="62"/>
      <c r="N109" s="62"/>
      <c r="O109" s="62"/>
      <c r="P109" s="62"/>
      <c r="Q109" s="62"/>
      <c r="R109" s="175"/>
      <c r="S109" s="270"/>
      <c r="T109" s="175"/>
      <c r="U109" s="175"/>
      <c r="V109" s="175"/>
      <c r="W109" s="175"/>
      <c r="X109" s="175"/>
      <c r="Y109" s="175"/>
      <c r="Z109" s="9"/>
      <c r="AA109" s="9"/>
      <c r="AB109" s="9"/>
      <c r="AC109" s="9"/>
      <c r="AD109" s="9"/>
      <c r="AE109" s="9"/>
      <c r="AF109" s="9"/>
      <c r="AG109" s="189"/>
      <c r="AH109" s="189"/>
      <c r="AI109" s="189"/>
      <c r="AJ109" s="189"/>
      <c r="AK109" s="189"/>
      <c r="AL109" s="189"/>
      <c r="AM109" s="189"/>
      <c r="AN109" s="189"/>
      <c r="AO109" s="189"/>
      <c r="AP109" s="189"/>
      <c r="AQ109" s="189"/>
      <c r="AR109" s="189"/>
      <c r="AS109" s="189"/>
      <c r="AT109" s="189"/>
      <c r="AU109" s="189"/>
      <c r="AV109" s="189"/>
      <c r="AW109" s="189"/>
    </row>
    <row r="110" spans="1:49" outlineLevel="1">
      <c r="A110" s="12"/>
      <c r="B110" s="12"/>
      <c r="C110" s="12"/>
      <c r="D110" s="12"/>
      <c r="E110" s="12"/>
      <c r="F110" s="40" t="str">
        <f>Asset2</f>
        <v>Distribution system assets</v>
      </c>
      <c r="G110" s="428">
        <v>13.71919436899814</v>
      </c>
      <c r="H110" s="327">
        <v>7.1155506915036337</v>
      </c>
      <c r="I110" s="327">
        <v>12.740573907720869</v>
      </c>
      <c r="J110" s="327">
        <v>10.972061803950602</v>
      </c>
      <c r="K110" s="327">
        <v>17.021284412673907</v>
      </c>
      <c r="L110" s="327">
        <v>16.516528325352159</v>
      </c>
      <c r="M110" s="63"/>
      <c r="N110" s="63"/>
      <c r="O110" s="63"/>
      <c r="P110" s="63"/>
      <c r="Q110" s="63"/>
      <c r="R110" s="92"/>
      <c r="S110" s="271"/>
      <c r="T110" s="92"/>
      <c r="U110" s="92"/>
      <c r="V110" s="92"/>
      <c r="W110" s="92"/>
      <c r="X110" s="92"/>
      <c r="Y110" s="92"/>
      <c r="Z110" s="9"/>
      <c r="AA110" s="9"/>
      <c r="AB110" s="9"/>
      <c r="AC110" s="9"/>
      <c r="AD110" s="9"/>
      <c r="AE110" s="9"/>
      <c r="AF110" s="9"/>
      <c r="AG110" s="189"/>
      <c r="AH110" s="189"/>
      <c r="AI110" s="189"/>
      <c r="AJ110" s="189"/>
      <c r="AK110" s="189"/>
      <c r="AL110" s="189"/>
      <c r="AM110" s="189"/>
      <c r="AN110" s="189"/>
      <c r="AO110" s="189"/>
      <c r="AP110" s="189"/>
      <c r="AQ110" s="189"/>
      <c r="AR110" s="189"/>
      <c r="AS110" s="189"/>
      <c r="AT110" s="189"/>
      <c r="AU110" s="189"/>
      <c r="AV110" s="189"/>
      <c r="AW110" s="189"/>
    </row>
    <row r="111" spans="1:49" outlineLevel="1">
      <c r="A111" s="12"/>
      <c r="B111" s="12"/>
      <c r="C111" s="12"/>
      <c r="D111" s="12"/>
      <c r="E111" s="12"/>
      <c r="F111" s="40" t="str">
        <f>Asset3</f>
        <v>Standard metering</v>
      </c>
      <c r="G111" s="169">
        <v>0</v>
      </c>
      <c r="H111" s="63">
        <v>0</v>
      </c>
      <c r="I111" s="63">
        <v>0</v>
      </c>
      <c r="J111" s="63">
        <v>0</v>
      </c>
      <c r="K111" s="63">
        <v>0</v>
      </c>
      <c r="L111" s="63">
        <v>0</v>
      </c>
      <c r="M111" s="63"/>
      <c r="N111" s="63"/>
      <c r="O111" s="63"/>
      <c r="P111" s="63"/>
      <c r="Q111" s="63"/>
      <c r="R111" s="92"/>
      <c r="S111" s="271"/>
      <c r="T111" s="92"/>
      <c r="U111" s="92"/>
      <c r="V111" s="92"/>
      <c r="W111" s="92"/>
      <c r="X111" s="92"/>
      <c r="Y111" s="92"/>
      <c r="Z111" s="9"/>
      <c r="AA111" s="9"/>
      <c r="AB111" s="9"/>
      <c r="AC111" s="9"/>
      <c r="AD111" s="9"/>
      <c r="AE111" s="9"/>
      <c r="AF111" s="9"/>
      <c r="AG111" s="189"/>
      <c r="AH111" s="189"/>
      <c r="AI111" s="189"/>
      <c r="AJ111" s="189"/>
      <c r="AK111" s="189"/>
      <c r="AL111" s="189"/>
      <c r="AM111" s="189"/>
      <c r="AN111" s="189"/>
      <c r="AO111" s="189"/>
      <c r="AP111" s="189"/>
      <c r="AQ111" s="189"/>
      <c r="AR111" s="189"/>
      <c r="AS111" s="189"/>
      <c r="AT111" s="189"/>
      <c r="AU111" s="189"/>
      <c r="AV111" s="189"/>
      <c r="AW111" s="189"/>
    </row>
    <row r="112" spans="1:49" outlineLevel="1">
      <c r="A112" s="12"/>
      <c r="B112" s="12"/>
      <c r="C112" s="12"/>
      <c r="D112" s="12"/>
      <c r="E112" s="12"/>
      <c r="F112" s="40" t="str">
        <f>Asset4</f>
        <v>Public lighting</v>
      </c>
      <c r="G112" s="169">
        <v>0</v>
      </c>
      <c r="H112" s="63">
        <v>0</v>
      </c>
      <c r="I112" s="63">
        <v>0</v>
      </c>
      <c r="J112" s="63">
        <v>0</v>
      </c>
      <c r="K112" s="63">
        <v>0</v>
      </c>
      <c r="L112" s="63">
        <v>0</v>
      </c>
      <c r="M112" s="63"/>
      <c r="N112" s="63"/>
      <c r="O112" s="63"/>
      <c r="P112" s="63"/>
      <c r="Q112" s="63"/>
      <c r="R112" s="92"/>
      <c r="S112" s="271"/>
      <c r="T112" s="92"/>
      <c r="U112" s="92"/>
      <c r="V112" s="92"/>
      <c r="W112" s="92"/>
      <c r="X112" s="92"/>
      <c r="Y112" s="92"/>
      <c r="Z112" s="9"/>
      <c r="AA112" s="9"/>
      <c r="AB112" s="9"/>
      <c r="AC112" s="9"/>
      <c r="AD112" s="9"/>
      <c r="AE112" s="9"/>
      <c r="AF112" s="9"/>
      <c r="AG112" s="189"/>
      <c r="AH112" s="189"/>
      <c r="AI112" s="189"/>
      <c r="AJ112" s="189"/>
      <c r="AK112" s="189"/>
      <c r="AL112" s="189"/>
      <c r="AM112" s="189"/>
      <c r="AN112" s="189"/>
      <c r="AO112" s="189"/>
      <c r="AP112" s="189"/>
      <c r="AQ112" s="189"/>
      <c r="AR112" s="189"/>
      <c r="AS112" s="189"/>
      <c r="AT112" s="189"/>
      <c r="AU112" s="189"/>
      <c r="AV112" s="189"/>
      <c r="AW112" s="189"/>
    </row>
    <row r="113" spans="1:49" outlineLevel="1">
      <c r="A113" s="12"/>
      <c r="B113" s="12"/>
      <c r="C113" s="12"/>
      <c r="D113" s="12"/>
      <c r="E113" s="12"/>
      <c r="F113" s="40" t="str">
        <f>Asset5</f>
        <v>SCADA/Network control</v>
      </c>
      <c r="G113" s="169">
        <v>0</v>
      </c>
      <c r="H113" s="63">
        <v>0</v>
      </c>
      <c r="I113" s="63">
        <v>0</v>
      </c>
      <c r="J113" s="63">
        <v>0</v>
      </c>
      <c r="K113" s="63">
        <v>0</v>
      </c>
      <c r="L113" s="63">
        <v>0</v>
      </c>
      <c r="M113" s="63"/>
      <c r="N113" s="63"/>
      <c r="O113" s="63"/>
      <c r="P113" s="63"/>
      <c r="Q113" s="63"/>
      <c r="R113" s="92"/>
      <c r="S113" s="271"/>
      <c r="T113" s="92"/>
      <c r="U113" s="92"/>
      <c r="V113" s="92"/>
      <c r="W113" s="92"/>
      <c r="X113" s="92"/>
      <c r="Y113" s="92"/>
      <c r="Z113" s="9"/>
      <c r="AA113" s="9"/>
      <c r="AB113" s="9"/>
      <c r="AC113" s="9"/>
      <c r="AD113" s="9"/>
      <c r="AE113" s="9"/>
      <c r="AF113" s="9"/>
      <c r="AG113" s="189"/>
      <c r="AH113" s="189"/>
      <c r="AI113" s="189"/>
      <c r="AJ113" s="189"/>
      <c r="AK113" s="189"/>
      <c r="AL113" s="189"/>
      <c r="AM113" s="189"/>
      <c r="AN113" s="189"/>
      <c r="AO113" s="189"/>
      <c r="AP113" s="189"/>
      <c r="AQ113" s="189"/>
      <c r="AR113" s="189"/>
      <c r="AS113" s="189"/>
      <c r="AT113" s="189"/>
      <c r="AU113" s="189"/>
      <c r="AV113" s="189"/>
      <c r="AW113" s="189"/>
    </row>
    <row r="114" spans="1:49" outlineLevel="1">
      <c r="A114" s="12"/>
      <c r="B114" s="12"/>
      <c r="C114" s="12"/>
      <c r="D114" s="12"/>
      <c r="E114" s="12"/>
      <c r="F114" s="40" t="str">
        <f>Asset6</f>
        <v>Non-network general assets - IT</v>
      </c>
      <c r="G114" s="169">
        <v>0</v>
      </c>
      <c r="H114" s="63">
        <v>0</v>
      </c>
      <c r="I114" s="63">
        <v>0</v>
      </c>
      <c r="J114" s="63">
        <v>0</v>
      </c>
      <c r="K114" s="63">
        <v>0</v>
      </c>
      <c r="L114" s="63">
        <v>0</v>
      </c>
      <c r="M114" s="63"/>
      <c r="N114" s="63"/>
      <c r="O114" s="63"/>
      <c r="P114" s="63"/>
      <c r="Q114" s="63"/>
      <c r="R114" s="92"/>
      <c r="S114" s="271"/>
      <c r="T114" s="92"/>
      <c r="U114" s="92"/>
      <c r="V114" s="92"/>
      <c r="W114" s="92"/>
      <c r="X114" s="92"/>
      <c r="Y114" s="92"/>
      <c r="Z114" s="9"/>
      <c r="AA114" s="9"/>
      <c r="AB114" s="9"/>
      <c r="AC114" s="9"/>
      <c r="AD114" s="9"/>
      <c r="AE114" s="9"/>
      <c r="AF114" s="9"/>
      <c r="AG114" s="189"/>
      <c r="AH114" s="189"/>
      <c r="AI114" s="189"/>
      <c r="AJ114" s="189"/>
      <c r="AK114" s="189"/>
      <c r="AL114" s="189"/>
      <c r="AM114" s="189"/>
      <c r="AN114" s="189"/>
      <c r="AO114" s="189"/>
      <c r="AP114" s="189"/>
      <c r="AQ114" s="189"/>
      <c r="AR114" s="189"/>
      <c r="AS114" s="189"/>
      <c r="AT114" s="189"/>
      <c r="AU114" s="189"/>
      <c r="AV114" s="189"/>
      <c r="AW114" s="189"/>
    </row>
    <row r="115" spans="1:49" outlineLevel="1">
      <c r="A115" s="12"/>
      <c r="B115" s="12"/>
      <c r="C115" s="12"/>
      <c r="D115" s="12"/>
      <c r="E115" s="12"/>
      <c r="F115" s="40" t="str">
        <f>Asset7</f>
        <v>Non-network general assets - Other</v>
      </c>
      <c r="G115" s="169">
        <v>0</v>
      </c>
      <c r="H115" s="63">
        <v>0</v>
      </c>
      <c r="I115" s="63">
        <v>0</v>
      </c>
      <c r="J115" s="63">
        <v>0</v>
      </c>
      <c r="K115" s="63">
        <v>0</v>
      </c>
      <c r="L115" s="63">
        <v>0</v>
      </c>
      <c r="M115" s="63"/>
      <c r="N115" s="63"/>
      <c r="O115" s="63"/>
      <c r="P115" s="63"/>
      <c r="Q115" s="63"/>
      <c r="R115" s="92"/>
      <c r="S115" s="271"/>
      <c r="T115" s="92"/>
      <c r="U115" s="92"/>
      <c r="V115" s="92"/>
      <c r="W115" s="92"/>
      <c r="X115" s="92"/>
      <c r="Y115" s="92"/>
      <c r="Z115" s="9"/>
      <c r="AA115" s="9"/>
      <c r="AB115" s="9"/>
      <c r="AC115" s="9"/>
      <c r="AD115" s="9"/>
      <c r="AE115" s="9"/>
      <c r="AF115" s="9"/>
      <c r="AG115" s="189"/>
      <c r="AH115" s="189"/>
      <c r="AI115" s="189"/>
      <c r="AJ115" s="189"/>
      <c r="AK115" s="189"/>
      <c r="AL115" s="189"/>
      <c r="AM115" s="189"/>
      <c r="AN115" s="189"/>
      <c r="AO115" s="189"/>
      <c r="AP115" s="189"/>
      <c r="AQ115" s="189"/>
      <c r="AR115" s="189"/>
      <c r="AS115" s="189"/>
      <c r="AT115" s="189"/>
      <c r="AU115" s="189"/>
      <c r="AV115" s="189"/>
      <c r="AW115" s="189"/>
    </row>
    <row r="116" spans="1:49" outlineLevel="1">
      <c r="A116" s="12"/>
      <c r="B116" s="12"/>
      <c r="C116" s="12"/>
      <c r="D116" s="12"/>
      <c r="E116" s="12"/>
      <c r="F116" s="40" t="str">
        <f>Asset8</f>
        <v>VBRC</v>
      </c>
      <c r="G116" s="169"/>
      <c r="H116" s="63"/>
      <c r="I116" s="63"/>
      <c r="J116" s="63"/>
      <c r="K116" s="63"/>
      <c r="L116" s="63"/>
      <c r="M116" s="63"/>
      <c r="N116" s="63"/>
      <c r="O116" s="63"/>
      <c r="P116" s="63"/>
      <c r="Q116" s="63"/>
      <c r="R116" s="92"/>
      <c r="S116" s="272"/>
      <c r="T116" s="92"/>
      <c r="U116" s="92"/>
      <c r="V116" s="92"/>
      <c r="W116" s="92"/>
      <c r="X116" s="92"/>
      <c r="Y116" s="92"/>
      <c r="Z116" s="9"/>
      <c r="AA116" s="9"/>
      <c r="AB116" s="9"/>
      <c r="AC116" s="9"/>
      <c r="AD116" s="9"/>
      <c r="AE116" s="9"/>
      <c r="AF116" s="9"/>
      <c r="AG116" s="189"/>
      <c r="AH116" s="189"/>
      <c r="AI116" s="189"/>
      <c r="AJ116" s="189"/>
      <c r="AK116" s="189"/>
      <c r="AL116" s="189"/>
      <c r="AM116" s="189"/>
      <c r="AN116" s="189"/>
      <c r="AO116" s="189"/>
      <c r="AP116" s="189"/>
      <c r="AQ116" s="189"/>
      <c r="AR116" s="189"/>
      <c r="AS116" s="189"/>
      <c r="AT116" s="189"/>
      <c r="AU116" s="189"/>
      <c r="AV116" s="189"/>
      <c r="AW116" s="189"/>
    </row>
    <row r="117" spans="1:49" outlineLevel="1">
      <c r="A117" s="12"/>
      <c r="B117" s="12"/>
      <c r="C117" s="12"/>
      <c r="D117" s="12"/>
      <c r="E117" s="12"/>
      <c r="F117" s="40" t="str">
        <f>Asset9</f>
        <v>Equity raising</v>
      </c>
      <c r="G117" s="169"/>
      <c r="H117" s="63"/>
      <c r="I117" s="63"/>
      <c r="J117" s="63"/>
      <c r="K117" s="63"/>
      <c r="L117" s="63"/>
      <c r="M117" s="63"/>
      <c r="N117" s="63"/>
      <c r="O117" s="63"/>
      <c r="P117" s="63"/>
      <c r="Q117" s="63"/>
      <c r="R117" s="92"/>
      <c r="S117" s="271"/>
      <c r="T117" s="92"/>
      <c r="U117" s="92"/>
      <c r="V117" s="92"/>
      <c r="W117" s="92"/>
      <c r="X117" s="92"/>
      <c r="Y117" s="92"/>
      <c r="Z117" s="9"/>
      <c r="AA117" s="9"/>
      <c r="AB117" s="9"/>
      <c r="AC117" s="9"/>
      <c r="AD117" s="9"/>
      <c r="AE117" s="9"/>
      <c r="AF117" s="9"/>
      <c r="AG117" s="189"/>
      <c r="AH117" s="189"/>
      <c r="AI117" s="189"/>
      <c r="AJ117" s="189"/>
      <c r="AK117" s="189"/>
      <c r="AL117" s="189"/>
      <c r="AM117" s="189"/>
      <c r="AN117" s="189"/>
      <c r="AO117" s="189"/>
      <c r="AP117" s="189"/>
      <c r="AQ117" s="189"/>
      <c r="AR117" s="189"/>
      <c r="AS117" s="189"/>
      <c r="AT117" s="189"/>
      <c r="AU117" s="189"/>
      <c r="AV117" s="189"/>
      <c r="AW117" s="189"/>
    </row>
    <row r="118" spans="1:49" outlineLevel="1">
      <c r="A118" s="12"/>
      <c r="B118" s="12"/>
      <c r="C118" s="12"/>
      <c r="D118" s="12"/>
      <c r="E118" s="12"/>
      <c r="F118" s="40">
        <f>Asset10</f>
        <v>0</v>
      </c>
      <c r="G118" s="169"/>
      <c r="H118" s="63"/>
      <c r="I118" s="63"/>
      <c r="J118" s="63"/>
      <c r="K118" s="63"/>
      <c r="L118" s="63"/>
      <c r="M118" s="63"/>
      <c r="N118" s="63"/>
      <c r="O118" s="63"/>
      <c r="P118" s="63"/>
      <c r="Q118" s="63"/>
      <c r="R118" s="92"/>
      <c r="S118" s="271"/>
      <c r="T118" s="92"/>
      <c r="U118" s="92"/>
      <c r="V118" s="92"/>
      <c r="W118" s="92"/>
      <c r="X118" s="92"/>
      <c r="Y118" s="92"/>
      <c r="Z118" s="9"/>
      <c r="AA118" s="9"/>
      <c r="AB118" s="9"/>
      <c r="AC118" s="9"/>
      <c r="AD118" s="9"/>
      <c r="AE118" s="9"/>
      <c r="AF118" s="9"/>
      <c r="AG118" s="189"/>
      <c r="AH118" s="189"/>
      <c r="AI118" s="189"/>
      <c r="AJ118" s="189"/>
      <c r="AK118" s="189"/>
      <c r="AL118" s="189"/>
      <c r="AM118" s="189"/>
      <c r="AN118" s="189"/>
      <c r="AO118" s="189"/>
      <c r="AP118" s="189"/>
      <c r="AQ118" s="189"/>
      <c r="AR118" s="189"/>
      <c r="AS118" s="189"/>
      <c r="AT118" s="189"/>
      <c r="AU118" s="189"/>
      <c r="AV118" s="189"/>
      <c r="AW118" s="189"/>
    </row>
    <row r="119" spans="1:49" outlineLevel="1">
      <c r="A119" s="12"/>
      <c r="B119" s="12"/>
      <c r="C119" s="12"/>
      <c r="D119" s="12"/>
      <c r="E119" s="12"/>
      <c r="F119" s="40">
        <f>Asset11</f>
        <v>0</v>
      </c>
      <c r="G119" s="169"/>
      <c r="H119" s="63"/>
      <c r="I119" s="63"/>
      <c r="J119" s="63"/>
      <c r="K119" s="63"/>
      <c r="L119" s="63"/>
      <c r="M119" s="63"/>
      <c r="N119" s="63"/>
      <c r="O119" s="63"/>
      <c r="P119" s="63"/>
      <c r="Q119" s="63"/>
      <c r="R119" s="92"/>
      <c r="S119" s="271"/>
      <c r="T119" s="92"/>
      <c r="U119" s="92"/>
      <c r="V119" s="92"/>
      <c r="W119" s="92"/>
      <c r="X119" s="92"/>
      <c r="Y119" s="92"/>
      <c r="Z119" s="9"/>
      <c r="AA119" s="9"/>
      <c r="AB119" s="9"/>
      <c r="AC119" s="9"/>
      <c r="AD119" s="9"/>
      <c r="AE119" s="9"/>
      <c r="AF119" s="9"/>
      <c r="AG119" s="189"/>
      <c r="AH119" s="189"/>
      <c r="AI119" s="189"/>
      <c r="AJ119" s="189"/>
      <c r="AK119" s="189"/>
      <c r="AL119" s="189"/>
      <c r="AM119" s="189"/>
      <c r="AN119" s="189"/>
      <c r="AO119" s="189"/>
      <c r="AP119" s="189"/>
      <c r="AQ119" s="189"/>
      <c r="AR119" s="189"/>
      <c r="AS119" s="189"/>
      <c r="AT119" s="189"/>
      <c r="AU119" s="189"/>
      <c r="AV119" s="189"/>
      <c r="AW119" s="189"/>
    </row>
    <row r="120" spans="1:49" outlineLevel="1">
      <c r="A120" s="12"/>
      <c r="B120" s="12"/>
      <c r="C120" s="12"/>
      <c r="D120" s="12"/>
      <c r="E120" s="12"/>
      <c r="F120" s="40">
        <f>Asset12</f>
        <v>0</v>
      </c>
      <c r="G120" s="169"/>
      <c r="H120" s="63"/>
      <c r="I120" s="63"/>
      <c r="J120" s="63"/>
      <c r="K120" s="63"/>
      <c r="L120" s="63"/>
      <c r="M120" s="63"/>
      <c r="N120" s="63"/>
      <c r="O120" s="63"/>
      <c r="P120" s="63"/>
      <c r="Q120" s="63"/>
      <c r="R120" s="92"/>
      <c r="S120" s="271"/>
      <c r="T120" s="92"/>
      <c r="U120" s="92"/>
      <c r="V120" s="92"/>
      <c r="W120" s="92"/>
      <c r="X120" s="92"/>
      <c r="Y120" s="92"/>
      <c r="Z120" s="9"/>
      <c r="AA120" s="9"/>
      <c r="AB120" s="9"/>
      <c r="AC120" s="9"/>
      <c r="AD120" s="9"/>
      <c r="AE120" s="9"/>
      <c r="AF120" s="9"/>
      <c r="AG120" s="189"/>
      <c r="AH120" s="189"/>
      <c r="AI120" s="189"/>
      <c r="AJ120" s="189"/>
      <c r="AK120" s="189"/>
      <c r="AL120" s="189"/>
      <c r="AM120" s="189"/>
      <c r="AN120" s="189"/>
      <c r="AO120" s="189"/>
      <c r="AP120" s="189"/>
      <c r="AQ120" s="189"/>
      <c r="AR120" s="189"/>
      <c r="AS120" s="189"/>
      <c r="AT120" s="189"/>
      <c r="AU120" s="189"/>
      <c r="AV120" s="189"/>
      <c r="AW120" s="189"/>
    </row>
    <row r="121" spans="1:49" outlineLevel="1">
      <c r="A121" s="12"/>
      <c r="B121" s="12"/>
      <c r="C121" s="12"/>
      <c r="D121" s="12"/>
      <c r="E121" s="12"/>
      <c r="F121" s="40">
        <f>Asset13</f>
        <v>0</v>
      </c>
      <c r="G121" s="169"/>
      <c r="H121" s="63"/>
      <c r="I121" s="63"/>
      <c r="J121" s="63"/>
      <c r="K121" s="63"/>
      <c r="L121" s="63"/>
      <c r="M121" s="63"/>
      <c r="N121" s="63"/>
      <c r="O121" s="63"/>
      <c r="P121" s="63"/>
      <c r="Q121" s="63"/>
      <c r="R121" s="92"/>
      <c r="S121" s="271"/>
      <c r="T121" s="92"/>
      <c r="U121" s="92"/>
      <c r="V121" s="92"/>
      <c r="W121" s="92"/>
      <c r="X121" s="92"/>
      <c r="Y121" s="92"/>
      <c r="Z121" s="9"/>
      <c r="AA121" s="9"/>
      <c r="AB121" s="9"/>
      <c r="AC121" s="9"/>
      <c r="AD121" s="9"/>
      <c r="AE121" s="9"/>
      <c r="AF121" s="9"/>
      <c r="AG121" s="189"/>
      <c r="AH121" s="189"/>
      <c r="AI121" s="189"/>
      <c r="AJ121" s="189"/>
      <c r="AK121" s="189"/>
      <c r="AL121" s="189"/>
      <c r="AM121" s="189"/>
      <c r="AN121" s="189"/>
      <c r="AO121" s="189"/>
      <c r="AP121" s="189"/>
      <c r="AQ121" s="189"/>
      <c r="AR121" s="189"/>
      <c r="AS121" s="189"/>
      <c r="AT121" s="189"/>
      <c r="AU121" s="189"/>
      <c r="AV121" s="189"/>
      <c r="AW121" s="189"/>
    </row>
    <row r="122" spans="1:49" outlineLevel="1">
      <c r="A122" s="12"/>
      <c r="B122" s="12"/>
      <c r="C122" s="12"/>
      <c r="D122" s="12"/>
      <c r="E122" s="12"/>
      <c r="F122" s="40">
        <f>Asset14</f>
        <v>0</v>
      </c>
      <c r="G122" s="169"/>
      <c r="H122" s="63"/>
      <c r="I122" s="63"/>
      <c r="J122" s="63"/>
      <c r="K122" s="63"/>
      <c r="L122" s="63"/>
      <c r="M122" s="63"/>
      <c r="N122" s="63"/>
      <c r="O122" s="63"/>
      <c r="P122" s="63"/>
      <c r="Q122" s="63"/>
      <c r="R122" s="92"/>
      <c r="S122" s="271"/>
      <c r="T122" s="92"/>
      <c r="U122" s="92"/>
      <c r="V122" s="92"/>
      <c r="W122" s="92"/>
      <c r="X122" s="92"/>
      <c r="Y122" s="92"/>
      <c r="Z122" s="9"/>
      <c r="AA122" s="9"/>
      <c r="AB122" s="9"/>
      <c r="AC122" s="9"/>
      <c r="AD122" s="9"/>
      <c r="AE122" s="9"/>
      <c r="AF122" s="9"/>
      <c r="AG122" s="189"/>
      <c r="AH122" s="189"/>
      <c r="AI122" s="189"/>
      <c r="AJ122" s="189"/>
      <c r="AK122" s="189"/>
      <c r="AL122" s="189"/>
      <c r="AM122" s="189"/>
      <c r="AN122" s="189"/>
      <c r="AO122" s="189"/>
      <c r="AP122" s="189"/>
      <c r="AQ122" s="189"/>
      <c r="AR122" s="189"/>
      <c r="AS122" s="189"/>
      <c r="AT122" s="189"/>
      <c r="AU122" s="189"/>
      <c r="AV122" s="189"/>
      <c r="AW122" s="189"/>
    </row>
    <row r="123" spans="1:49" outlineLevel="1">
      <c r="A123" s="12"/>
      <c r="B123" s="12"/>
      <c r="C123" s="12"/>
      <c r="D123" s="12"/>
      <c r="E123" s="12"/>
      <c r="F123" s="40">
        <f>Asset15</f>
        <v>0</v>
      </c>
      <c r="G123" s="169"/>
      <c r="H123" s="63"/>
      <c r="I123" s="63"/>
      <c r="J123" s="63"/>
      <c r="K123" s="63"/>
      <c r="L123" s="63"/>
      <c r="M123" s="63"/>
      <c r="N123" s="63"/>
      <c r="O123" s="63"/>
      <c r="P123" s="63"/>
      <c r="Q123" s="63"/>
      <c r="R123" s="92"/>
      <c r="S123" s="271"/>
      <c r="T123" s="92"/>
      <c r="U123" s="92"/>
      <c r="V123" s="92"/>
      <c r="W123" s="92"/>
      <c r="X123" s="92"/>
      <c r="Y123" s="92"/>
      <c r="Z123" s="9"/>
      <c r="AA123" s="9"/>
      <c r="AB123" s="9"/>
      <c r="AC123" s="9"/>
      <c r="AD123" s="9"/>
      <c r="AE123" s="9"/>
      <c r="AF123" s="9"/>
      <c r="AG123" s="189"/>
      <c r="AH123" s="189"/>
      <c r="AI123" s="189"/>
      <c r="AJ123" s="189"/>
      <c r="AK123" s="189"/>
      <c r="AL123" s="189"/>
      <c r="AM123" s="189"/>
      <c r="AN123" s="189"/>
      <c r="AO123" s="189"/>
      <c r="AP123" s="189"/>
      <c r="AQ123" s="189"/>
      <c r="AR123" s="189"/>
      <c r="AS123" s="189"/>
      <c r="AT123" s="189"/>
      <c r="AU123" s="189"/>
      <c r="AV123" s="189"/>
      <c r="AW123" s="189"/>
    </row>
    <row r="124" spans="1:49" outlineLevel="1">
      <c r="A124" s="12"/>
      <c r="B124" s="12"/>
      <c r="C124" s="12"/>
      <c r="D124" s="12"/>
      <c r="E124" s="12"/>
      <c r="F124" s="40">
        <f>Asset16</f>
        <v>0</v>
      </c>
      <c r="G124" s="169"/>
      <c r="H124" s="63"/>
      <c r="I124" s="63"/>
      <c r="J124" s="63"/>
      <c r="K124" s="63"/>
      <c r="L124" s="63"/>
      <c r="M124" s="63"/>
      <c r="N124" s="63"/>
      <c r="O124" s="63"/>
      <c r="P124" s="63"/>
      <c r="Q124" s="63"/>
      <c r="R124" s="92"/>
      <c r="S124" s="271"/>
      <c r="T124" s="92"/>
      <c r="U124" s="92"/>
      <c r="V124" s="92"/>
      <c r="W124" s="92"/>
      <c r="X124" s="92"/>
      <c r="Y124" s="92"/>
      <c r="Z124" s="9"/>
      <c r="AA124" s="9"/>
      <c r="AB124" s="9"/>
      <c r="AC124" s="9"/>
      <c r="AD124" s="9"/>
      <c r="AE124" s="9"/>
      <c r="AF124" s="9"/>
      <c r="AG124" s="189"/>
      <c r="AH124" s="189"/>
      <c r="AI124" s="189"/>
      <c r="AJ124" s="189"/>
      <c r="AK124" s="189"/>
      <c r="AL124" s="189"/>
      <c r="AM124" s="189"/>
      <c r="AN124" s="189"/>
      <c r="AO124" s="189"/>
      <c r="AP124" s="189"/>
      <c r="AQ124" s="189"/>
      <c r="AR124" s="189"/>
      <c r="AS124" s="189"/>
      <c r="AT124" s="189"/>
      <c r="AU124" s="189"/>
      <c r="AV124" s="189"/>
      <c r="AW124" s="189"/>
    </row>
    <row r="125" spans="1:49" outlineLevel="1">
      <c r="A125" s="12"/>
      <c r="B125" s="12"/>
      <c r="C125" s="12"/>
      <c r="D125" s="12"/>
      <c r="E125" s="12"/>
      <c r="F125" s="40">
        <f>Asset17</f>
        <v>0</v>
      </c>
      <c r="G125" s="169"/>
      <c r="H125" s="63"/>
      <c r="I125" s="63"/>
      <c r="J125" s="63"/>
      <c r="K125" s="63"/>
      <c r="L125" s="63"/>
      <c r="M125" s="63"/>
      <c r="N125" s="63"/>
      <c r="O125" s="63"/>
      <c r="P125" s="63"/>
      <c r="Q125" s="63"/>
      <c r="R125" s="92"/>
      <c r="S125" s="271"/>
      <c r="T125" s="92"/>
      <c r="U125" s="92"/>
      <c r="V125" s="92"/>
      <c r="W125" s="92"/>
      <c r="X125" s="92"/>
      <c r="Y125" s="92"/>
      <c r="Z125" s="9"/>
      <c r="AA125" s="9"/>
      <c r="AB125" s="9"/>
      <c r="AC125" s="9"/>
      <c r="AD125" s="9"/>
      <c r="AE125" s="9"/>
      <c r="AF125" s="9"/>
      <c r="AG125" s="189"/>
      <c r="AH125" s="189"/>
      <c r="AI125" s="189"/>
      <c r="AJ125" s="189"/>
      <c r="AK125" s="189"/>
      <c r="AL125" s="189"/>
      <c r="AM125" s="189"/>
      <c r="AN125" s="189"/>
      <c r="AO125" s="189"/>
      <c r="AP125" s="189"/>
      <c r="AQ125" s="189"/>
      <c r="AR125" s="189"/>
      <c r="AS125" s="189"/>
      <c r="AT125" s="189"/>
      <c r="AU125" s="189"/>
      <c r="AV125" s="189"/>
      <c r="AW125" s="189"/>
    </row>
    <row r="126" spans="1:49" outlineLevel="1">
      <c r="A126" s="12"/>
      <c r="B126" s="12"/>
      <c r="C126" s="12"/>
      <c r="D126" s="12"/>
      <c r="E126" s="12"/>
      <c r="F126" s="40">
        <f>Asset18</f>
        <v>0</v>
      </c>
      <c r="G126" s="169"/>
      <c r="H126" s="63"/>
      <c r="I126" s="63"/>
      <c r="J126" s="63"/>
      <c r="K126" s="63"/>
      <c r="L126" s="63"/>
      <c r="M126" s="63"/>
      <c r="N126" s="63"/>
      <c r="O126" s="63"/>
      <c r="P126" s="63"/>
      <c r="Q126" s="63"/>
      <c r="R126" s="92"/>
      <c r="S126" s="271"/>
      <c r="T126" s="92"/>
      <c r="U126" s="92"/>
      <c r="V126" s="92"/>
      <c r="W126" s="92"/>
      <c r="X126" s="92"/>
      <c r="Y126" s="92"/>
      <c r="Z126" s="9"/>
      <c r="AA126" s="9"/>
      <c r="AB126" s="9"/>
      <c r="AC126" s="9"/>
      <c r="AD126" s="9"/>
      <c r="AE126" s="9"/>
      <c r="AF126" s="9"/>
      <c r="AG126" s="189"/>
      <c r="AH126" s="189"/>
      <c r="AI126" s="189"/>
      <c r="AJ126" s="189"/>
      <c r="AK126" s="189"/>
      <c r="AL126" s="189"/>
      <c r="AM126" s="189"/>
      <c r="AN126" s="189"/>
      <c r="AO126" s="189"/>
      <c r="AP126" s="189"/>
      <c r="AQ126" s="189"/>
      <c r="AR126" s="189"/>
      <c r="AS126" s="189"/>
      <c r="AT126" s="189"/>
      <c r="AU126" s="189"/>
      <c r="AV126" s="189"/>
      <c r="AW126" s="189"/>
    </row>
    <row r="127" spans="1:49" outlineLevel="1">
      <c r="A127" s="12"/>
      <c r="B127" s="12"/>
      <c r="C127" s="12"/>
      <c r="D127" s="12"/>
      <c r="E127" s="12"/>
      <c r="F127" s="40">
        <f>Asset19</f>
        <v>0</v>
      </c>
      <c r="G127" s="169"/>
      <c r="H127" s="63"/>
      <c r="I127" s="63"/>
      <c r="J127" s="63"/>
      <c r="K127" s="63"/>
      <c r="L127" s="63"/>
      <c r="M127" s="63"/>
      <c r="N127" s="63"/>
      <c r="O127" s="63"/>
      <c r="P127" s="63"/>
      <c r="Q127" s="63"/>
      <c r="R127" s="92"/>
      <c r="S127" s="271"/>
      <c r="T127" s="92"/>
      <c r="U127" s="92"/>
      <c r="V127" s="92"/>
      <c r="W127" s="92"/>
      <c r="X127" s="92"/>
      <c r="Y127" s="92"/>
      <c r="Z127" s="9"/>
      <c r="AA127" s="9"/>
      <c r="AB127" s="9"/>
      <c r="AC127" s="9"/>
      <c r="AD127" s="9"/>
      <c r="AE127" s="9"/>
      <c r="AF127" s="9"/>
      <c r="AG127" s="189"/>
      <c r="AH127" s="189"/>
      <c r="AI127" s="189"/>
      <c r="AJ127" s="189"/>
      <c r="AK127" s="189"/>
      <c r="AL127" s="189"/>
      <c r="AM127" s="189"/>
      <c r="AN127" s="189"/>
      <c r="AO127" s="189"/>
      <c r="AP127" s="189"/>
      <c r="AQ127" s="189"/>
      <c r="AR127" s="189"/>
      <c r="AS127" s="189"/>
      <c r="AT127" s="189"/>
      <c r="AU127" s="189"/>
      <c r="AV127" s="189"/>
      <c r="AW127" s="189"/>
    </row>
    <row r="128" spans="1:49" outlineLevel="1">
      <c r="A128" s="12"/>
      <c r="B128" s="12"/>
      <c r="C128" s="12"/>
      <c r="D128" s="12"/>
      <c r="E128" s="12"/>
      <c r="F128" s="40">
        <f>Asset20</f>
        <v>0</v>
      </c>
      <c r="G128" s="169"/>
      <c r="H128" s="63"/>
      <c r="I128" s="63"/>
      <c r="J128" s="63"/>
      <c r="K128" s="63"/>
      <c r="L128" s="63"/>
      <c r="M128" s="63"/>
      <c r="N128" s="63"/>
      <c r="O128" s="63"/>
      <c r="P128" s="63"/>
      <c r="Q128" s="63"/>
      <c r="R128" s="92"/>
      <c r="S128" s="273"/>
      <c r="T128" s="92"/>
      <c r="U128" s="92"/>
      <c r="V128" s="92"/>
      <c r="W128" s="92"/>
      <c r="X128" s="92"/>
      <c r="Y128" s="92"/>
      <c r="Z128" s="9"/>
      <c r="AA128" s="9"/>
      <c r="AB128" s="9"/>
      <c r="AC128" s="9"/>
      <c r="AD128" s="9"/>
      <c r="AE128" s="9"/>
      <c r="AF128" s="9"/>
      <c r="AG128" s="189"/>
      <c r="AH128" s="189"/>
      <c r="AI128" s="189"/>
      <c r="AJ128" s="189"/>
      <c r="AK128" s="189"/>
      <c r="AL128" s="189"/>
      <c r="AM128" s="189"/>
      <c r="AN128" s="189"/>
      <c r="AO128" s="189"/>
      <c r="AP128" s="189"/>
      <c r="AQ128" s="189"/>
      <c r="AR128" s="189"/>
      <c r="AS128" s="189"/>
      <c r="AT128" s="189"/>
      <c r="AU128" s="189"/>
      <c r="AV128" s="189"/>
      <c r="AW128" s="189"/>
    </row>
    <row r="129" spans="1:49" outlineLevel="1">
      <c r="A129" s="12"/>
      <c r="B129" s="12"/>
      <c r="C129" s="12"/>
      <c r="D129" s="12"/>
      <c r="E129" s="12"/>
      <c r="F129" s="40">
        <f>Asset21</f>
        <v>0</v>
      </c>
      <c r="G129" s="169"/>
      <c r="H129" s="63"/>
      <c r="I129" s="63"/>
      <c r="J129" s="63"/>
      <c r="K129" s="63"/>
      <c r="L129" s="63"/>
      <c r="M129" s="63"/>
      <c r="N129" s="63"/>
      <c r="O129" s="63"/>
      <c r="P129" s="63"/>
      <c r="Q129" s="63"/>
      <c r="R129" s="92"/>
      <c r="S129" s="274"/>
      <c r="T129" s="92"/>
      <c r="U129" s="92"/>
      <c r="V129" s="92"/>
      <c r="W129" s="92"/>
      <c r="X129" s="92"/>
      <c r="Y129" s="92"/>
      <c r="Z129" s="9"/>
      <c r="AA129" s="9"/>
      <c r="AB129" s="9"/>
      <c r="AC129" s="9"/>
      <c r="AD129" s="9"/>
      <c r="AE129" s="9"/>
      <c r="AF129" s="9"/>
      <c r="AG129" s="189"/>
      <c r="AH129" s="189"/>
      <c r="AI129" s="189"/>
      <c r="AJ129" s="189"/>
      <c r="AK129" s="189"/>
      <c r="AL129" s="189"/>
      <c r="AM129" s="189"/>
      <c r="AN129" s="189"/>
      <c r="AO129" s="189"/>
      <c r="AP129" s="189"/>
      <c r="AQ129" s="189"/>
      <c r="AR129" s="189"/>
      <c r="AS129" s="189"/>
      <c r="AT129" s="189"/>
      <c r="AU129" s="189"/>
      <c r="AV129" s="189"/>
      <c r="AW129" s="189"/>
    </row>
    <row r="130" spans="1:49" outlineLevel="1">
      <c r="A130" s="12"/>
      <c r="B130" s="12"/>
      <c r="C130" s="12"/>
      <c r="D130" s="12"/>
      <c r="E130" s="12"/>
      <c r="F130" s="40">
        <f>Asset22</f>
        <v>0</v>
      </c>
      <c r="G130" s="169"/>
      <c r="H130" s="63"/>
      <c r="I130" s="63"/>
      <c r="J130" s="63"/>
      <c r="K130" s="63"/>
      <c r="L130" s="63"/>
      <c r="M130" s="63"/>
      <c r="N130" s="63"/>
      <c r="O130" s="63"/>
      <c r="P130" s="63"/>
      <c r="Q130" s="63"/>
      <c r="R130" s="92"/>
      <c r="S130" s="274"/>
      <c r="T130" s="92"/>
      <c r="U130" s="92"/>
      <c r="V130" s="92"/>
      <c r="W130" s="92"/>
      <c r="X130" s="92"/>
      <c r="Y130" s="92"/>
      <c r="Z130" s="9"/>
      <c r="AA130" s="9"/>
      <c r="AB130" s="9"/>
      <c r="AC130" s="9"/>
      <c r="AD130" s="9"/>
      <c r="AE130" s="9"/>
      <c r="AF130" s="9"/>
      <c r="AG130" s="189"/>
      <c r="AH130" s="189"/>
      <c r="AI130" s="189"/>
      <c r="AJ130" s="189"/>
      <c r="AK130" s="189"/>
      <c r="AL130" s="189"/>
      <c r="AM130" s="189"/>
      <c r="AN130" s="189"/>
      <c r="AO130" s="189"/>
      <c r="AP130" s="189"/>
      <c r="AQ130" s="189"/>
      <c r="AR130" s="189"/>
      <c r="AS130" s="189"/>
      <c r="AT130" s="189"/>
      <c r="AU130" s="189"/>
      <c r="AV130" s="189"/>
      <c r="AW130" s="189"/>
    </row>
    <row r="131" spans="1:49" outlineLevel="1">
      <c r="A131" s="12"/>
      <c r="B131" s="12"/>
      <c r="C131" s="12"/>
      <c r="D131" s="12"/>
      <c r="E131" s="12"/>
      <c r="F131" s="40">
        <f>Asset23</f>
        <v>0</v>
      </c>
      <c r="G131" s="169"/>
      <c r="H131" s="63"/>
      <c r="I131" s="63"/>
      <c r="J131" s="63"/>
      <c r="K131" s="63"/>
      <c r="L131" s="63"/>
      <c r="M131" s="63"/>
      <c r="N131" s="63"/>
      <c r="O131" s="63"/>
      <c r="P131" s="63"/>
      <c r="Q131" s="63"/>
      <c r="R131" s="92"/>
      <c r="S131" s="274"/>
      <c r="T131" s="92"/>
      <c r="U131" s="92"/>
      <c r="V131" s="92"/>
      <c r="W131" s="92"/>
      <c r="X131" s="92"/>
      <c r="Y131" s="92"/>
      <c r="Z131" s="9"/>
      <c r="AA131" s="9"/>
      <c r="AB131" s="9"/>
      <c r="AC131" s="9"/>
      <c r="AD131" s="9"/>
      <c r="AE131" s="9"/>
      <c r="AF131" s="9"/>
      <c r="AG131" s="189"/>
      <c r="AH131" s="189"/>
      <c r="AI131" s="189"/>
      <c r="AJ131" s="189"/>
      <c r="AK131" s="189"/>
      <c r="AL131" s="189"/>
      <c r="AM131" s="189"/>
      <c r="AN131" s="189"/>
      <c r="AO131" s="189"/>
      <c r="AP131" s="189"/>
      <c r="AQ131" s="189"/>
      <c r="AR131" s="189"/>
      <c r="AS131" s="189"/>
      <c r="AT131" s="189"/>
      <c r="AU131" s="189"/>
      <c r="AV131" s="189"/>
      <c r="AW131" s="189"/>
    </row>
    <row r="132" spans="1:49" outlineLevel="1">
      <c r="A132" s="12"/>
      <c r="B132" s="12"/>
      <c r="C132" s="12"/>
      <c r="D132" s="12"/>
      <c r="E132" s="12"/>
      <c r="F132" s="40">
        <f>Asset24</f>
        <v>0</v>
      </c>
      <c r="G132" s="169"/>
      <c r="H132" s="63"/>
      <c r="I132" s="63"/>
      <c r="J132" s="63"/>
      <c r="K132" s="63"/>
      <c r="L132" s="63"/>
      <c r="M132" s="63"/>
      <c r="N132" s="63"/>
      <c r="O132" s="63"/>
      <c r="P132" s="63"/>
      <c r="Q132" s="63"/>
      <c r="R132" s="92"/>
      <c r="S132" s="274"/>
      <c r="T132" s="92"/>
      <c r="U132" s="92"/>
      <c r="V132" s="92"/>
      <c r="W132" s="92"/>
      <c r="X132" s="92"/>
      <c r="Y132" s="92"/>
      <c r="Z132" s="9"/>
      <c r="AA132" s="9"/>
      <c r="AB132" s="9"/>
      <c r="AC132" s="9"/>
      <c r="AD132" s="9"/>
      <c r="AE132" s="9"/>
      <c r="AF132" s="9"/>
      <c r="AG132" s="189"/>
      <c r="AH132" s="189"/>
      <c r="AI132" s="189"/>
      <c r="AJ132" s="189"/>
      <c r="AK132" s="189"/>
      <c r="AL132" s="189"/>
      <c r="AM132" s="189"/>
      <c r="AN132" s="189"/>
      <c r="AO132" s="189"/>
      <c r="AP132" s="189"/>
      <c r="AQ132" s="189"/>
      <c r="AR132" s="189"/>
      <c r="AS132" s="189"/>
      <c r="AT132" s="189"/>
      <c r="AU132" s="189"/>
      <c r="AV132" s="189"/>
      <c r="AW132" s="189"/>
    </row>
    <row r="133" spans="1:49" outlineLevel="1">
      <c r="A133" s="12"/>
      <c r="B133" s="12"/>
      <c r="C133" s="12"/>
      <c r="D133" s="12"/>
      <c r="E133" s="12"/>
      <c r="F133" s="40">
        <f>Asset25</f>
        <v>0</v>
      </c>
      <c r="G133" s="169"/>
      <c r="H133" s="63"/>
      <c r="I133" s="63"/>
      <c r="J133" s="63"/>
      <c r="K133" s="63"/>
      <c r="L133" s="63"/>
      <c r="M133" s="63"/>
      <c r="N133" s="63"/>
      <c r="O133" s="63"/>
      <c r="P133" s="63"/>
      <c r="Q133" s="63"/>
      <c r="R133" s="92"/>
      <c r="S133" s="274"/>
      <c r="T133" s="92"/>
      <c r="U133" s="92"/>
      <c r="V133" s="92"/>
      <c r="W133" s="92"/>
      <c r="X133" s="92"/>
      <c r="Y133" s="92"/>
      <c r="Z133" s="9"/>
      <c r="AA133" s="9"/>
      <c r="AB133" s="9"/>
      <c r="AC133" s="9"/>
      <c r="AD133" s="9"/>
      <c r="AE133" s="9"/>
      <c r="AF133" s="9"/>
      <c r="AG133" s="189"/>
      <c r="AH133" s="189"/>
      <c r="AI133" s="189"/>
      <c r="AJ133" s="189"/>
      <c r="AK133" s="189"/>
      <c r="AL133" s="189"/>
      <c r="AM133" s="189"/>
      <c r="AN133" s="189"/>
      <c r="AO133" s="189"/>
      <c r="AP133" s="189"/>
      <c r="AQ133" s="189"/>
      <c r="AR133" s="189"/>
      <c r="AS133" s="189"/>
      <c r="AT133" s="189"/>
      <c r="AU133" s="189"/>
      <c r="AV133" s="189"/>
      <c r="AW133" s="189"/>
    </row>
    <row r="134" spans="1:49" outlineLevel="1">
      <c r="A134" s="12"/>
      <c r="B134" s="12"/>
      <c r="C134" s="12"/>
      <c r="D134" s="12"/>
      <c r="E134" s="12"/>
      <c r="F134" s="40">
        <f>Asset26</f>
        <v>0</v>
      </c>
      <c r="G134" s="169"/>
      <c r="H134" s="63"/>
      <c r="I134" s="63"/>
      <c r="J134" s="63"/>
      <c r="K134" s="63"/>
      <c r="L134" s="63"/>
      <c r="M134" s="63"/>
      <c r="N134" s="63"/>
      <c r="O134" s="63"/>
      <c r="P134" s="63"/>
      <c r="Q134" s="63"/>
      <c r="R134" s="92"/>
      <c r="S134" s="274"/>
      <c r="T134" s="92"/>
      <c r="U134" s="92"/>
      <c r="V134" s="92"/>
      <c r="W134" s="92"/>
      <c r="X134" s="92"/>
      <c r="Y134" s="92"/>
      <c r="Z134" s="9"/>
      <c r="AA134" s="9"/>
      <c r="AB134" s="9"/>
      <c r="AC134" s="9"/>
      <c r="AD134" s="9"/>
      <c r="AE134" s="9"/>
      <c r="AF134" s="9"/>
      <c r="AG134" s="189"/>
      <c r="AH134" s="189"/>
      <c r="AI134" s="189"/>
      <c r="AJ134" s="189"/>
      <c r="AK134" s="189"/>
      <c r="AL134" s="189"/>
      <c r="AM134" s="189"/>
      <c r="AN134" s="189"/>
      <c r="AO134" s="189"/>
      <c r="AP134" s="189"/>
      <c r="AQ134" s="189"/>
      <c r="AR134" s="189"/>
      <c r="AS134" s="189"/>
      <c r="AT134" s="189"/>
      <c r="AU134" s="189"/>
      <c r="AV134" s="189"/>
      <c r="AW134" s="189"/>
    </row>
    <row r="135" spans="1:49" outlineLevel="1">
      <c r="A135" s="12"/>
      <c r="B135" s="12"/>
      <c r="C135" s="12"/>
      <c r="D135" s="12"/>
      <c r="E135" s="12"/>
      <c r="F135" s="40">
        <f>Asset27</f>
        <v>0</v>
      </c>
      <c r="G135" s="169"/>
      <c r="H135" s="63"/>
      <c r="I135" s="63"/>
      <c r="J135" s="63"/>
      <c r="K135" s="63"/>
      <c r="L135" s="63"/>
      <c r="M135" s="63"/>
      <c r="N135" s="63"/>
      <c r="O135" s="63"/>
      <c r="P135" s="63"/>
      <c r="Q135" s="63"/>
      <c r="R135" s="92"/>
      <c r="S135" s="274"/>
      <c r="T135" s="92"/>
      <c r="U135" s="92"/>
      <c r="V135" s="92"/>
      <c r="W135" s="92"/>
      <c r="X135" s="92"/>
      <c r="Y135" s="92"/>
      <c r="Z135" s="9"/>
      <c r="AA135" s="9"/>
      <c r="AB135" s="9"/>
      <c r="AC135" s="9"/>
      <c r="AD135" s="9"/>
      <c r="AE135" s="9"/>
      <c r="AF135" s="9"/>
      <c r="AG135" s="189"/>
      <c r="AH135" s="189"/>
      <c r="AI135" s="189"/>
      <c r="AJ135" s="189"/>
      <c r="AK135" s="189"/>
      <c r="AL135" s="189"/>
      <c r="AM135" s="189"/>
      <c r="AN135" s="189"/>
      <c r="AO135" s="189"/>
      <c r="AP135" s="189"/>
      <c r="AQ135" s="189"/>
      <c r="AR135" s="189"/>
      <c r="AS135" s="189"/>
      <c r="AT135" s="189"/>
      <c r="AU135" s="189"/>
      <c r="AV135" s="189"/>
      <c r="AW135" s="189"/>
    </row>
    <row r="136" spans="1:49" outlineLevel="1">
      <c r="A136" s="12"/>
      <c r="B136" s="12"/>
      <c r="C136" s="12"/>
      <c r="D136" s="12"/>
      <c r="E136" s="12"/>
      <c r="F136" s="40">
        <f>Asset28</f>
        <v>0</v>
      </c>
      <c r="G136" s="169"/>
      <c r="H136" s="63"/>
      <c r="I136" s="63"/>
      <c r="J136" s="63"/>
      <c r="K136" s="63"/>
      <c r="L136" s="63"/>
      <c r="M136" s="63"/>
      <c r="N136" s="63"/>
      <c r="O136" s="63"/>
      <c r="P136" s="63"/>
      <c r="Q136" s="63"/>
      <c r="R136" s="92"/>
      <c r="S136" s="274"/>
      <c r="T136" s="92"/>
      <c r="U136" s="92"/>
      <c r="V136" s="92"/>
      <c r="W136" s="92"/>
      <c r="X136" s="92"/>
      <c r="Y136" s="92"/>
      <c r="Z136" s="9"/>
      <c r="AA136" s="9"/>
      <c r="AB136" s="9"/>
      <c r="AC136" s="9"/>
      <c r="AD136" s="9"/>
      <c r="AE136" s="9"/>
      <c r="AF136" s="9"/>
      <c r="AG136" s="189"/>
      <c r="AH136" s="189"/>
      <c r="AI136" s="189"/>
      <c r="AJ136" s="189"/>
      <c r="AK136" s="189"/>
      <c r="AL136" s="189"/>
      <c r="AM136" s="189"/>
      <c r="AN136" s="189"/>
      <c r="AO136" s="189"/>
      <c r="AP136" s="189"/>
      <c r="AQ136" s="189"/>
      <c r="AR136" s="189"/>
      <c r="AS136" s="189"/>
      <c r="AT136" s="189"/>
      <c r="AU136" s="189"/>
      <c r="AV136" s="189"/>
      <c r="AW136" s="189"/>
    </row>
    <row r="137" spans="1:49" outlineLevel="1">
      <c r="A137" s="12"/>
      <c r="B137" s="12"/>
      <c r="C137" s="12"/>
      <c r="D137" s="12"/>
      <c r="E137" s="12"/>
      <c r="F137" s="40">
        <f>Asset29</f>
        <v>0</v>
      </c>
      <c r="G137" s="169"/>
      <c r="H137" s="63"/>
      <c r="I137" s="63"/>
      <c r="J137" s="63"/>
      <c r="K137" s="63"/>
      <c r="L137" s="63"/>
      <c r="M137" s="63"/>
      <c r="N137" s="63"/>
      <c r="O137" s="63"/>
      <c r="P137" s="63"/>
      <c r="Q137" s="63"/>
      <c r="R137" s="92"/>
      <c r="S137" s="92"/>
      <c r="T137" s="92"/>
      <c r="U137" s="92"/>
      <c r="V137" s="92"/>
      <c r="W137" s="92"/>
      <c r="X137" s="92"/>
      <c r="Y137" s="92"/>
      <c r="Z137" s="9"/>
      <c r="AA137" s="9"/>
      <c r="AB137" s="9"/>
      <c r="AC137" s="9"/>
      <c r="AD137" s="9"/>
      <c r="AE137" s="9"/>
      <c r="AF137" s="9"/>
      <c r="AG137" s="189"/>
      <c r="AH137" s="189"/>
      <c r="AI137" s="189"/>
      <c r="AJ137" s="189"/>
      <c r="AK137" s="189"/>
      <c r="AL137" s="189"/>
      <c r="AM137" s="189"/>
      <c r="AN137" s="189"/>
      <c r="AO137" s="189"/>
      <c r="AP137" s="189"/>
      <c r="AQ137" s="189"/>
      <c r="AR137" s="189"/>
      <c r="AS137" s="189"/>
      <c r="AT137" s="189"/>
      <c r="AU137" s="189"/>
      <c r="AV137" s="189"/>
      <c r="AW137" s="189"/>
    </row>
    <row r="138" spans="1:49" outlineLevel="1">
      <c r="A138" s="12"/>
      <c r="B138" s="12"/>
      <c r="C138" s="12"/>
      <c r="D138" s="12"/>
      <c r="E138" s="12"/>
      <c r="F138" s="40">
        <f>Asset30</f>
        <v>0</v>
      </c>
      <c r="G138" s="169"/>
      <c r="H138" s="63"/>
      <c r="I138" s="63"/>
      <c r="J138" s="63"/>
      <c r="K138" s="63"/>
      <c r="L138" s="63"/>
      <c r="M138" s="63"/>
      <c r="N138" s="63"/>
      <c r="O138" s="63"/>
      <c r="P138" s="63"/>
      <c r="Q138" s="63"/>
      <c r="R138" s="92"/>
      <c r="S138" s="275"/>
      <c r="T138" s="92"/>
      <c r="U138" s="92"/>
      <c r="V138" s="92"/>
      <c r="W138" s="92"/>
      <c r="X138" s="92"/>
      <c r="Y138" s="92"/>
      <c r="Z138" s="9"/>
      <c r="AA138" s="9"/>
      <c r="AB138" s="9"/>
      <c r="AC138" s="9"/>
      <c r="AD138" s="9"/>
      <c r="AE138" s="9"/>
      <c r="AF138" s="9"/>
      <c r="AG138" s="189"/>
      <c r="AH138" s="189"/>
      <c r="AI138" s="189"/>
      <c r="AJ138" s="189"/>
      <c r="AK138" s="189"/>
      <c r="AL138" s="189"/>
      <c r="AM138" s="189"/>
      <c r="AN138" s="189"/>
      <c r="AO138" s="189"/>
      <c r="AP138" s="189"/>
      <c r="AQ138" s="189"/>
      <c r="AR138" s="189"/>
      <c r="AS138" s="189"/>
      <c r="AT138" s="189"/>
      <c r="AU138" s="189"/>
      <c r="AV138" s="189"/>
      <c r="AW138" s="189"/>
    </row>
    <row r="139" spans="1:49">
      <c r="A139" s="12"/>
      <c r="B139" s="12"/>
      <c r="C139" s="12"/>
      <c r="D139" s="12"/>
      <c r="E139" s="12"/>
      <c r="F139" s="40" t="s">
        <v>22</v>
      </c>
      <c r="G139" s="235">
        <f t="shared" ref="G139:Q139" si="13">SUM(G109:G138)</f>
        <v>20.960904949185906</v>
      </c>
      <c r="H139" s="235">
        <f t="shared" si="13"/>
        <v>20.507396169195726</v>
      </c>
      <c r="I139" s="235">
        <f t="shared" si="13"/>
        <v>17.607077177041727</v>
      </c>
      <c r="J139" s="235">
        <f t="shared" si="13"/>
        <v>20.547096891057421</v>
      </c>
      <c r="K139" s="235">
        <f t="shared" si="13"/>
        <v>21.48559188694956</v>
      </c>
      <c r="L139" s="235">
        <f t="shared" si="13"/>
        <v>22.554654210788073</v>
      </c>
      <c r="M139" s="235">
        <f t="shared" si="13"/>
        <v>0</v>
      </c>
      <c r="N139" s="235">
        <f t="shared" si="13"/>
        <v>0</v>
      </c>
      <c r="O139" s="235">
        <f t="shared" si="13"/>
        <v>0</v>
      </c>
      <c r="P139" s="235">
        <f t="shared" si="13"/>
        <v>0</v>
      </c>
      <c r="Q139" s="235">
        <f t="shared" si="13"/>
        <v>0</v>
      </c>
      <c r="R139" s="38"/>
      <c r="S139" s="38"/>
      <c r="T139" s="235"/>
      <c r="U139" s="235"/>
      <c r="V139" s="235"/>
      <c r="W139" s="235"/>
      <c r="X139" s="235"/>
      <c r="Y139" s="235"/>
      <c r="Z139" s="48"/>
      <c r="AA139" s="8"/>
      <c r="AB139" s="8"/>
      <c r="AC139" s="44"/>
      <c r="AD139" s="9"/>
      <c r="AE139" s="9"/>
      <c r="AF139" s="9"/>
      <c r="AG139" s="189"/>
      <c r="AH139" s="189"/>
      <c r="AI139" s="189"/>
      <c r="AJ139" s="189"/>
      <c r="AK139" s="189"/>
      <c r="AL139" s="189"/>
      <c r="AM139" s="189"/>
      <c r="AN139" s="189"/>
      <c r="AO139" s="189"/>
      <c r="AP139" s="189"/>
      <c r="AQ139" s="189"/>
      <c r="AR139" s="189"/>
      <c r="AS139" s="189"/>
      <c r="AT139" s="189"/>
      <c r="AU139" s="189"/>
      <c r="AV139" s="189"/>
      <c r="AW139" s="189"/>
    </row>
    <row r="140" spans="1:49" ht="20.25" customHeight="1">
      <c r="A140" s="12"/>
      <c r="B140" s="12"/>
      <c r="C140" s="12"/>
      <c r="D140" s="12"/>
      <c r="F140" s="9"/>
      <c r="G140" s="9"/>
      <c r="H140" s="18"/>
      <c r="I140" s="20"/>
      <c r="J140" s="9"/>
      <c r="K140" s="9"/>
      <c r="L140" s="9"/>
      <c r="M140" s="9"/>
      <c r="N140" s="9"/>
      <c r="O140" s="9"/>
      <c r="P140" s="9"/>
      <c r="Q140" s="9"/>
      <c r="R140" s="234">
        <f>SUM(G139:Q139)</f>
        <v>123.66272128421842</v>
      </c>
      <c r="S140" s="234"/>
      <c r="T140" s="234"/>
      <c r="U140" s="9"/>
      <c r="V140" s="9"/>
      <c r="W140" s="9"/>
      <c r="X140" s="9"/>
      <c r="Y140" s="9"/>
      <c r="Z140" s="9"/>
      <c r="AA140" s="9"/>
      <c r="AB140" s="9"/>
      <c r="AC140" s="19"/>
      <c r="AD140" s="9"/>
      <c r="AE140" s="9"/>
      <c r="AF140" s="9"/>
      <c r="AG140" s="189"/>
      <c r="AH140" s="189"/>
      <c r="AI140" s="189"/>
      <c r="AJ140" s="189"/>
      <c r="AK140" s="189"/>
      <c r="AL140" s="189"/>
      <c r="AM140" s="189"/>
      <c r="AN140" s="189"/>
      <c r="AO140" s="189"/>
      <c r="AP140" s="189"/>
      <c r="AQ140" s="189"/>
      <c r="AR140" s="189"/>
      <c r="AS140" s="189"/>
      <c r="AT140" s="189"/>
      <c r="AU140" s="189"/>
      <c r="AV140" s="189"/>
      <c r="AW140" s="189"/>
    </row>
    <row r="141" spans="1:49" ht="13.5" customHeight="1">
      <c r="A141" s="74"/>
      <c r="B141" s="74"/>
      <c r="C141" s="74"/>
      <c r="D141" s="74"/>
      <c r="E141" s="74"/>
      <c r="F141" s="162" t="str">
        <f>"Actual Net Capital Expenditure – As Incurred ($m Real "&amp;X7-1&amp;")"</f>
        <v>Actual Net Capital Expenditure – As Incurred ($m Real 2010)</v>
      </c>
      <c r="G141" s="162"/>
      <c r="H141" s="162"/>
      <c r="I141" s="162"/>
      <c r="J141" s="162"/>
      <c r="K141" s="77"/>
      <c r="L141" s="77"/>
      <c r="M141" s="75"/>
      <c r="N141" s="75"/>
      <c r="O141" s="75"/>
      <c r="P141" s="75"/>
      <c r="Q141" s="75"/>
      <c r="R141" s="75"/>
      <c r="S141" s="75"/>
      <c r="T141" s="75"/>
      <c r="U141" s="75"/>
      <c r="V141" s="75"/>
      <c r="W141" s="75"/>
      <c r="X141" s="75"/>
      <c r="Y141" s="75"/>
      <c r="Z141" s="8"/>
      <c r="AA141" s="8"/>
      <c r="AB141" s="8"/>
      <c r="AC141" s="8"/>
      <c r="AD141" s="44"/>
      <c r="AE141" s="9"/>
      <c r="AF141" s="9"/>
      <c r="AG141" s="189"/>
      <c r="AH141" s="189"/>
      <c r="AI141" s="189"/>
      <c r="AJ141" s="189"/>
      <c r="AK141" s="189"/>
      <c r="AL141" s="189"/>
      <c r="AM141" s="189"/>
      <c r="AN141" s="189"/>
      <c r="AO141" s="189"/>
      <c r="AP141" s="189"/>
      <c r="AQ141" s="189"/>
      <c r="AR141" s="189"/>
      <c r="AS141" s="189"/>
      <c r="AT141" s="189"/>
      <c r="AU141" s="189"/>
      <c r="AV141" s="189"/>
      <c r="AW141" s="189"/>
    </row>
    <row r="142" spans="1:49">
      <c r="A142" s="12"/>
      <c r="B142" s="12"/>
      <c r="C142" s="12"/>
      <c r="D142" s="12"/>
      <c r="E142" s="12"/>
      <c r="F142" s="39" t="s">
        <v>5</v>
      </c>
      <c r="G142" s="233">
        <f>G40</f>
        <v>2010</v>
      </c>
      <c r="H142" s="233">
        <f t="shared" ref="H142:Q142" si="14">H40</f>
        <v>2011</v>
      </c>
      <c r="I142" s="233">
        <f t="shared" si="14"/>
        <v>2012</v>
      </c>
      <c r="J142" s="233">
        <f t="shared" si="14"/>
        <v>2013</v>
      </c>
      <c r="K142" s="233">
        <f t="shared" si="14"/>
        <v>2014</v>
      </c>
      <c r="L142" s="233">
        <f t="shared" si="14"/>
        <v>2015</v>
      </c>
      <c r="M142" s="233">
        <f t="shared" si="14"/>
        <v>2016</v>
      </c>
      <c r="N142" s="233">
        <f t="shared" si="14"/>
        <v>2017</v>
      </c>
      <c r="O142" s="233">
        <f t="shared" si="14"/>
        <v>2018</v>
      </c>
      <c r="P142" s="233">
        <f t="shared" si="14"/>
        <v>2019</v>
      </c>
      <c r="Q142" s="233">
        <f t="shared" si="14"/>
        <v>2020</v>
      </c>
      <c r="R142" s="8"/>
      <c r="S142" s="8"/>
      <c r="T142" s="267"/>
      <c r="U142" s="267"/>
      <c r="V142" s="267"/>
      <c r="W142" s="267"/>
      <c r="X142" s="267"/>
      <c r="Y142" s="267"/>
      <c r="Z142" s="9"/>
      <c r="AA142" s="9"/>
      <c r="AB142" s="9"/>
      <c r="AC142" s="9"/>
      <c r="AD142" s="9"/>
      <c r="AE142" s="9"/>
      <c r="AF142" s="9"/>
      <c r="AG142" s="189"/>
      <c r="AH142" s="189"/>
      <c r="AI142" s="189"/>
      <c r="AJ142" s="189"/>
      <c r="AK142" s="189"/>
      <c r="AL142" s="189"/>
      <c r="AM142" s="189"/>
      <c r="AN142" s="189"/>
      <c r="AO142" s="189"/>
      <c r="AP142" s="189"/>
      <c r="AQ142" s="189"/>
      <c r="AR142" s="189"/>
      <c r="AS142" s="189"/>
      <c r="AT142" s="189"/>
      <c r="AU142" s="189"/>
      <c r="AV142" s="189"/>
      <c r="AW142" s="189"/>
    </row>
    <row r="143" spans="1:49" outlineLevel="1">
      <c r="A143" s="12"/>
      <c r="B143" s="12"/>
      <c r="C143" s="12"/>
      <c r="D143" s="12"/>
      <c r="E143" s="12"/>
      <c r="F143" s="40" t="str">
        <f>Asset1</f>
        <v>Subtransmission</v>
      </c>
      <c r="G143" s="176">
        <f t="shared" ref="G143:Q143" si="15">(G41-G75-G109)/G$178</f>
        <v>33.819254913831202</v>
      </c>
      <c r="H143" s="175">
        <f t="shared" si="15"/>
        <v>80.092258861819346</v>
      </c>
      <c r="I143" s="175">
        <f t="shared" si="15"/>
        <v>26.697509645755208</v>
      </c>
      <c r="J143" s="175">
        <f t="shared" si="15"/>
        <v>53.76293386986876</v>
      </c>
      <c r="K143" s="175">
        <f t="shared" si="15"/>
        <v>24.97569689929664</v>
      </c>
      <c r="L143" s="175">
        <f t="shared" si="15"/>
        <v>37.488306869895425</v>
      </c>
      <c r="M143" s="175">
        <f t="shared" si="15"/>
        <v>0</v>
      </c>
      <c r="N143" s="175">
        <f t="shared" si="15"/>
        <v>0</v>
      </c>
      <c r="O143" s="175">
        <f t="shared" si="15"/>
        <v>0</v>
      </c>
      <c r="P143" s="175">
        <f t="shared" si="15"/>
        <v>0</v>
      </c>
      <c r="Q143" s="175">
        <f t="shared" si="15"/>
        <v>0</v>
      </c>
      <c r="R143" s="175"/>
      <c r="S143" s="270"/>
      <c r="T143" s="175"/>
      <c r="U143" s="175"/>
      <c r="V143" s="175"/>
      <c r="W143" s="175"/>
      <c r="X143" s="175"/>
      <c r="Y143" s="175"/>
      <c r="Z143" s="9"/>
      <c r="AA143" s="9"/>
      <c r="AB143" s="9"/>
      <c r="AC143" s="9"/>
      <c r="AD143" s="9"/>
      <c r="AE143" s="9"/>
      <c r="AF143" s="9"/>
      <c r="AG143" s="189"/>
      <c r="AH143" s="189"/>
      <c r="AI143" s="189"/>
      <c r="AJ143" s="189"/>
      <c r="AK143" s="189"/>
      <c r="AL143" s="189"/>
      <c r="AM143" s="189"/>
      <c r="AN143" s="189"/>
      <c r="AO143" s="189"/>
      <c r="AP143" s="189"/>
      <c r="AQ143" s="189"/>
      <c r="AR143" s="189"/>
      <c r="AS143" s="189"/>
      <c r="AT143" s="189"/>
      <c r="AU143" s="189"/>
      <c r="AV143" s="189"/>
      <c r="AW143" s="189"/>
    </row>
    <row r="144" spans="1:49" outlineLevel="1">
      <c r="A144" s="12"/>
      <c r="B144" s="12"/>
      <c r="C144" s="12"/>
      <c r="D144" s="12"/>
      <c r="E144" s="12"/>
      <c r="F144" s="40" t="str">
        <f>Asset2</f>
        <v>Distribution system assets</v>
      </c>
      <c r="G144" s="177">
        <f t="shared" ref="G144:Q144" si="16">(G42-G76-G110)/G$178</f>
        <v>64.069521481140939</v>
      </c>
      <c r="H144" s="92">
        <f t="shared" si="16"/>
        <v>42.555787316814339</v>
      </c>
      <c r="I144" s="92">
        <f t="shared" si="16"/>
        <v>69.89445521143216</v>
      </c>
      <c r="J144" s="92">
        <f t="shared" si="16"/>
        <v>61.607109302003622</v>
      </c>
      <c r="K144" s="92">
        <f t="shared" si="16"/>
        <v>95.22606647890953</v>
      </c>
      <c r="L144" s="92">
        <f t="shared" si="16"/>
        <v>102.54451365109641</v>
      </c>
      <c r="M144" s="92">
        <f t="shared" si="16"/>
        <v>0</v>
      </c>
      <c r="N144" s="92">
        <f t="shared" si="16"/>
        <v>0</v>
      </c>
      <c r="O144" s="92">
        <f t="shared" si="16"/>
        <v>0</v>
      </c>
      <c r="P144" s="92">
        <f t="shared" si="16"/>
        <v>0</v>
      </c>
      <c r="Q144" s="92">
        <f t="shared" si="16"/>
        <v>0</v>
      </c>
      <c r="R144" s="92"/>
      <c r="S144" s="271"/>
      <c r="T144" s="92"/>
      <c r="U144" s="92"/>
      <c r="V144" s="92"/>
      <c r="W144" s="92"/>
      <c r="X144" s="92"/>
      <c r="Y144" s="92"/>
      <c r="Z144" s="9"/>
      <c r="AA144" s="9"/>
      <c r="AB144" s="9"/>
      <c r="AC144" s="9"/>
      <c r="AD144" s="9"/>
      <c r="AE144" s="9"/>
      <c r="AF144" s="9"/>
      <c r="AG144" s="189"/>
      <c r="AH144" s="189"/>
      <c r="AI144" s="189"/>
      <c r="AJ144" s="189"/>
      <c r="AK144" s="189"/>
      <c r="AL144" s="189"/>
      <c r="AM144" s="189"/>
      <c r="AN144" s="189"/>
      <c r="AO144" s="189"/>
      <c r="AP144" s="189"/>
      <c r="AQ144" s="189"/>
      <c r="AR144" s="189"/>
      <c r="AS144" s="189"/>
      <c r="AT144" s="189"/>
      <c r="AU144" s="189"/>
      <c r="AV144" s="189"/>
      <c r="AW144" s="189"/>
    </row>
    <row r="145" spans="1:49" outlineLevel="1">
      <c r="A145" s="12"/>
      <c r="B145" s="12"/>
      <c r="C145" s="12"/>
      <c r="D145" s="12"/>
      <c r="E145" s="12"/>
      <c r="F145" s="40" t="str">
        <f>Asset3</f>
        <v>Standard metering</v>
      </c>
      <c r="G145" s="177">
        <f t="shared" ref="G145:Q145" si="17">(G43-G77-G111)/G$178</f>
        <v>0</v>
      </c>
      <c r="H145" s="92">
        <f t="shared" si="17"/>
        <v>0</v>
      </c>
      <c r="I145" s="92">
        <f t="shared" si="17"/>
        <v>0</v>
      </c>
      <c r="J145" s="92">
        <f t="shared" si="17"/>
        <v>0</v>
      </c>
      <c r="K145" s="92">
        <f t="shared" si="17"/>
        <v>0</v>
      </c>
      <c r="L145" s="92">
        <f t="shared" si="17"/>
        <v>0</v>
      </c>
      <c r="M145" s="92">
        <f t="shared" si="17"/>
        <v>0</v>
      </c>
      <c r="N145" s="92">
        <f t="shared" si="17"/>
        <v>0</v>
      </c>
      <c r="O145" s="92">
        <f t="shared" si="17"/>
        <v>0</v>
      </c>
      <c r="P145" s="92">
        <f t="shared" si="17"/>
        <v>0</v>
      </c>
      <c r="Q145" s="92">
        <f t="shared" si="17"/>
        <v>0</v>
      </c>
      <c r="R145" s="92"/>
      <c r="S145" s="271"/>
      <c r="T145" s="92"/>
      <c r="U145" s="92"/>
      <c r="V145" s="92"/>
      <c r="W145" s="92"/>
      <c r="X145" s="92"/>
      <c r="Y145" s="92"/>
      <c r="Z145" s="9"/>
      <c r="AA145" s="9"/>
      <c r="AB145" s="9"/>
      <c r="AC145" s="9"/>
      <c r="AD145" s="9"/>
      <c r="AE145" s="9"/>
      <c r="AF145" s="9"/>
      <c r="AG145" s="189"/>
      <c r="AH145" s="189"/>
      <c r="AI145" s="189"/>
      <c r="AJ145" s="189"/>
      <c r="AK145" s="189"/>
      <c r="AL145" s="189"/>
      <c r="AM145" s="189"/>
      <c r="AN145" s="189"/>
      <c r="AO145" s="189"/>
      <c r="AP145" s="189"/>
      <c r="AQ145" s="189"/>
      <c r="AR145" s="189"/>
      <c r="AS145" s="189"/>
      <c r="AT145" s="189"/>
      <c r="AU145" s="189"/>
      <c r="AV145" s="189"/>
      <c r="AW145" s="189"/>
    </row>
    <row r="146" spans="1:49" outlineLevel="1">
      <c r="A146" s="12"/>
      <c r="B146" s="12"/>
      <c r="C146" s="12"/>
      <c r="D146" s="12"/>
      <c r="E146" s="12"/>
      <c r="F146" s="138" t="str">
        <f>Asset4</f>
        <v>Public lighting</v>
      </c>
      <c r="G146" s="177">
        <f t="shared" ref="G146:Q146" si="18">(G44-G78-G112)/G$178</f>
        <v>0</v>
      </c>
      <c r="H146" s="92">
        <f t="shared" si="18"/>
        <v>0</v>
      </c>
      <c r="I146" s="92">
        <f t="shared" si="18"/>
        <v>0</v>
      </c>
      <c r="J146" s="92">
        <f t="shared" si="18"/>
        <v>0</v>
      </c>
      <c r="K146" s="92">
        <f t="shared" si="18"/>
        <v>0</v>
      </c>
      <c r="L146" s="92">
        <f t="shared" si="18"/>
        <v>0</v>
      </c>
      <c r="M146" s="92">
        <f t="shared" si="18"/>
        <v>0</v>
      </c>
      <c r="N146" s="92">
        <f t="shared" si="18"/>
        <v>0</v>
      </c>
      <c r="O146" s="92">
        <f t="shared" si="18"/>
        <v>0</v>
      </c>
      <c r="P146" s="92">
        <f t="shared" si="18"/>
        <v>0</v>
      </c>
      <c r="Q146" s="92">
        <f t="shared" si="18"/>
        <v>0</v>
      </c>
      <c r="R146" s="92"/>
      <c r="S146" s="271"/>
      <c r="T146" s="92"/>
      <c r="U146" s="92"/>
      <c r="V146" s="92"/>
      <c r="W146" s="92"/>
      <c r="X146" s="92"/>
      <c r="Y146" s="92"/>
      <c r="Z146" s="9"/>
      <c r="AA146" s="9"/>
      <c r="AB146" s="9"/>
      <c r="AC146" s="9"/>
      <c r="AD146" s="9"/>
      <c r="AE146" s="9"/>
      <c r="AF146" s="9"/>
      <c r="AG146" s="189"/>
      <c r="AH146" s="189"/>
      <c r="AI146" s="189"/>
      <c r="AJ146" s="189"/>
      <c r="AK146" s="189"/>
      <c r="AL146" s="189"/>
      <c r="AM146" s="189"/>
      <c r="AN146" s="189"/>
      <c r="AO146" s="189"/>
      <c r="AP146" s="189"/>
      <c r="AQ146" s="189"/>
      <c r="AR146" s="189"/>
      <c r="AS146" s="189"/>
      <c r="AT146" s="189"/>
      <c r="AU146" s="189"/>
      <c r="AV146" s="189"/>
      <c r="AW146" s="189"/>
    </row>
    <row r="147" spans="1:49" outlineLevel="1">
      <c r="A147" s="12"/>
      <c r="B147" s="12"/>
      <c r="C147" s="12"/>
      <c r="D147" s="12"/>
      <c r="E147" s="12"/>
      <c r="F147" s="138" t="str">
        <f>Asset5</f>
        <v>SCADA/Network control</v>
      </c>
      <c r="G147" s="177">
        <f t="shared" ref="G147:Q147" si="19">(G45-G79-G113)/G$178</f>
        <v>0.79555182538509217</v>
      </c>
      <c r="H147" s="92">
        <f t="shared" si="19"/>
        <v>0.87791861827075934</v>
      </c>
      <c r="I147" s="92">
        <f t="shared" si="19"/>
        <v>3.1619154801668641</v>
      </c>
      <c r="J147" s="92">
        <f t="shared" si="19"/>
        <v>2.4487254477394953</v>
      </c>
      <c r="K147" s="92">
        <f t="shared" si="19"/>
        <v>2.3766085596226931</v>
      </c>
      <c r="L147" s="92">
        <f t="shared" si="19"/>
        <v>1.8878585750591805</v>
      </c>
      <c r="M147" s="92">
        <f t="shared" si="19"/>
        <v>0</v>
      </c>
      <c r="N147" s="92">
        <f t="shared" si="19"/>
        <v>0</v>
      </c>
      <c r="O147" s="92">
        <f t="shared" si="19"/>
        <v>0</v>
      </c>
      <c r="P147" s="92">
        <f t="shared" si="19"/>
        <v>0</v>
      </c>
      <c r="Q147" s="92">
        <f t="shared" si="19"/>
        <v>0</v>
      </c>
      <c r="R147" s="92"/>
      <c r="S147" s="271"/>
      <c r="T147" s="92"/>
      <c r="U147" s="92"/>
      <c r="V147" s="92"/>
      <c r="W147" s="92"/>
      <c r="X147" s="92"/>
      <c r="Y147" s="92"/>
      <c r="Z147" s="9"/>
      <c r="AA147" s="9"/>
      <c r="AB147" s="9"/>
      <c r="AC147" s="9"/>
      <c r="AD147" s="9"/>
      <c r="AE147" s="9"/>
      <c r="AF147" s="9"/>
      <c r="AG147" s="189"/>
      <c r="AH147" s="189"/>
      <c r="AI147" s="189"/>
      <c r="AJ147" s="189"/>
      <c r="AK147" s="189"/>
      <c r="AL147" s="189"/>
      <c r="AM147" s="189"/>
      <c r="AN147" s="189"/>
      <c r="AO147" s="189"/>
      <c r="AP147" s="189"/>
      <c r="AQ147" s="189"/>
      <c r="AR147" s="189"/>
      <c r="AS147" s="189"/>
      <c r="AT147" s="189"/>
      <c r="AU147" s="189"/>
      <c r="AV147" s="189"/>
      <c r="AW147" s="189"/>
    </row>
    <row r="148" spans="1:49" outlineLevel="1">
      <c r="A148" s="12"/>
      <c r="B148" s="12"/>
      <c r="C148" s="12"/>
      <c r="D148" s="12"/>
      <c r="E148" s="12"/>
      <c r="F148" s="138" t="str">
        <f>Asset6</f>
        <v>Non-network general assets - IT</v>
      </c>
      <c r="G148" s="177">
        <f t="shared" ref="G148:Q148" si="20">(G46-G80-G114)/G$178</f>
        <v>4.575097406073624</v>
      </c>
      <c r="H148" s="92">
        <f t="shared" si="20"/>
        <v>3.4458225654964783</v>
      </c>
      <c r="I148" s="92">
        <f t="shared" si="20"/>
        <v>5.5180350273175902</v>
      </c>
      <c r="J148" s="92">
        <f t="shared" si="20"/>
        <v>4.7013399703060417</v>
      </c>
      <c r="K148" s="92">
        <f t="shared" si="20"/>
        <v>7.8531808873186666</v>
      </c>
      <c r="L148" s="92">
        <f t="shared" si="20"/>
        <v>13.663865890707118</v>
      </c>
      <c r="M148" s="92">
        <f t="shared" si="20"/>
        <v>0</v>
      </c>
      <c r="N148" s="92">
        <f t="shared" si="20"/>
        <v>0</v>
      </c>
      <c r="O148" s="92">
        <f t="shared" si="20"/>
        <v>0</v>
      </c>
      <c r="P148" s="92">
        <f t="shared" si="20"/>
        <v>0</v>
      </c>
      <c r="Q148" s="92">
        <f t="shared" si="20"/>
        <v>0</v>
      </c>
      <c r="R148" s="92"/>
      <c r="S148" s="271"/>
      <c r="T148" s="92"/>
      <c r="U148" s="92"/>
      <c r="V148" s="92"/>
      <c r="W148" s="92"/>
      <c r="X148" s="92"/>
      <c r="Y148" s="92"/>
      <c r="Z148" s="9"/>
      <c r="AA148" s="9"/>
      <c r="AB148" s="9"/>
      <c r="AC148" s="9"/>
      <c r="AD148" s="9"/>
      <c r="AE148" s="9"/>
      <c r="AF148" s="9"/>
      <c r="AG148" s="189"/>
      <c r="AH148" s="189"/>
      <c r="AI148" s="189"/>
      <c r="AJ148" s="189"/>
      <c r="AK148" s="189"/>
      <c r="AL148" s="189"/>
      <c r="AM148" s="189"/>
      <c r="AN148" s="189"/>
      <c r="AO148" s="189"/>
      <c r="AP148" s="189"/>
      <c r="AQ148" s="189"/>
      <c r="AR148" s="189"/>
      <c r="AS148" s="189"/>
      <c r="AT148" s="189"/>
      <c r="AU148" s="189"/>
      <c r="AV148" s="189"/>
      <c r="AW148" s="189"/>
    </row>
    <row r="149" spans="1:49" outlineLevel="1">
      <c r="A149" s="12"/>
      <c r="B149" s="12"/>
      <c r="C149" s="12"/>
      <c r="D149" s="12"/>
      <c r="E149" s="12"/>
      <c r="F149" s="138" t="str">
        <f>Asset7</f>
        <v>Non-network general assets - Other</v>
      </c>
      <c r="G149" s="177">
        <f t="shared" ref="G149:Q149" si="21">(G47-G81-G115)/G$178</f>
        <v>1.1326495629808719</v>
      </c>
      <c r="H149" s="92">
        <f t="shared" si="21"/>
        <v>0.90388540237345438</v>
      </c>
      <c r="I149" s="92">
        <f t="shared" si="21"/>
        <v>0.20776777400390428</v>
      </c>
      <c r="J149" s="92">
        <f t="shared" si="21"/>
        <v>2.330719232453438</v>
      </c>
      <c r="K149" s="92">
        <f t="shared" si="21"/>
        <v>4.4341789794154254</v>
      </c>
      <c r="L149" s="92">
        <f t="shared" si="21"/>
        <v>2.3820615942122862</v>
      </c>
      <c r="M149" s="92">
        <f t="shared" si="21"/>
        <v>0</v>
      </c>
      <c r="N149" s="92">
        <f t="shared" si="21"/>
        <v>0</v>
      </c>
      <c r="O149" s="92">
        <f t="shared" si="21"/>
        <v>0</v>
      </c>
      <c r="P149" s="92">
        <f t="shared" si="21"/>
        <v>0</v>
      </c>
      <c r="Q149" s="92">
        <f t="shared" si="21"/>
        <v>0</v>
      </c>
      <c r="R149" s="92"/>
      <c r="S149" s="271"/>
      <c r="T149" s="92"/>
      <c r="U149" s="92"/>
      <c r="V149" s="92"/>
      <c r="W149" s="92"/>
      <c r="X149" s="92"/>
      <c r="Y149" s="92"/>
      <c r="Z149" s="9"/>
      <c r="AA149" s="9"/>
      <c r="AB149" s="9"/>
      <c r="AC149" s="9"/>
      <c r="AD149" s="9"/>
      <c r="AE149" s="9"/>
      <c r="AF149" s="9"/>
      <c r="AG149" s="189"/>
      <c r="AH149" s="189"/>
      <c r="AI149" s="189"/>
      <c r="AJ149" s="189"/>
      <c r="AK149" s="189"/>
      <c r="AL149" s="189"/>
      <c r="AM149" s="189"/>
      <c r="AN149" s="189"/>
      <c r="AO149" s="189"/>
      <c r="AP149" s="189"/>
      <c r="AQ149" s="189"/>
      <c r="AR149" s="189"/>
      <c r="AS149" s="189"/>
      <c r="AT149" s="189"/>
      <c r="AU149" s="189"/>
      <c r="AV149" s="189"/>
      <c r="AW149" s="189"/>
    </row>
    <row r="150" spans="1:49" outlineLevel="1">
      <c r="A150" s="12"/>
      <c r="B150" s="12"/>
      <c r="C150" s="12"/>
      <c r="D150" s="12"/>
      <c r="E150" s="12"/>
      <c r="F150" s="138" t="str">
        <f>Asset8</f>
        <v>VBRC</v>
      </c>
      <c r="G150" s="177">
        <f t="shared" ref="G150:Q150" si="22">(G48-G82-G116)/G$178</f>
        <v>0</v>
      </c>
      <c r="H150" s="92">
        <f t="shared" si="22"/>
        <v>0</v>
      </c>
      <c r="I150" s="92">
        <f t="shared" si="22"/>
        <v>0</v>
      </c>
      <c r="J150" s="92">
        <f t="shared" si="22"/>
        <v>0</v>
      </c>
      <c r="K150" s="92">
        <f t="shared" si="22"/>
        <v>0</v>
      </c>
      <c r="L150" s="92">
        <f t="shared" si="22"/>
        <v>0</v>
      </c>
      <c r="M150" s="92">
        <f t="shared" si="22"/>
        <v>0</v>
      </c>
      <c r="N150" s="92">
        <f t="shared" si="22"/>
        <v>0</v>
      </c>
      <c r="O150" s="92">
        <f t="shared" si="22"/>
        <v>0</v>
      </c>
      <c r="P150" s="92">
        <f t="shared" si="22"/>
        <v>0</v>
      </c>
      <c r="Q150" s="92">
        <f t="shared" si="22"/>
        <v>0</v>
      </c>
      <c r="R150" s="92"/>
      <c r="S150" s="272"/>
      <c r="T150" s="92"/>
      <c r="U150" s="92"/>
      <c r="V150" s="92"/>
      <c r="W150" s="92"/>
      <c r="X150" s="92"/>
      <c r="Y150" s="92"/>
      <c r="Z150" s="9"/>
      <c r="AA150" s="9"/>
      <c r="AB150" s="9"/>
      <c r="AC150" s="9"/>
      <c r="AD150" s="9"/>
      <c r="AE150" s="9"/>
      <c r="AF150" s="9"/>
      <c r="AG150" s="189"/>
      <c r="AH150" s="189"/>
      <c r="AI150" s="189"/>
      <c r="AJ150" s="189"/>
      <c r="AK150" s="189"/>
      <c r="AL150" s="189"/>
      <c r="AM150" s="189"/>
      <c r="AN150" s="189"/>
      <c r="AO150" s="189"/>
      <c r="AP150" s="189"/>
      <c r="AQ150" s="189"/>
      <c r="AR150" s="189"/>
      <c r="AS150" s="189"/>
      <c r="AT150" s="189"/>
      <c r="AU150" s="189"/>
      <c r="AV150" s="189"/>
      <c r="AW150" s="189"/>
    </row>
    <row r="151" spans="1:49" outlineLevel="1">
      <c r="A151" s="12"/>
      <c r="B151" s="12"/>
      <c r="C151" s="12"/>
      <c r="D151" s="12"/>
      <c r="E151" s="12"/>
      <c r="F151" s="138" t="str">
        <f>Asset9</f>
        <v>Equity raising</v>
      </c>
      <c r="G151" s="177">
        <f t="shared" ref="G151:Q151" si="23">(G49-G83-G117)/G$178</f>
        <v>0</v>
      </c>
      <c r="H151" s="92">
        <f t="shared" si="23"/>
        <v>2.7193842290581673</v>
      </c>
      <c r="I151" s="92">
        <f t="shared" si="23"/>
        <v>0</v>
      </c>
      <c r="J151" s="92">
        <f t="shared" si="23"/>
        <v>0</v>
      </c>
      <c r="K151" s="92">
        <f t="shared" si="23"/>
        <v>0</v>
      </c>
      <c r="L151" s="92">
        <f t="shared" si="23"/>
        <v>0</v>
      </c>
      <c r="M151" s="92">
        <f t="shared" si="23"/>
        <v>0</v>
      </c>
      <c r="N151" s="92">
        <f t="shared" si="23"/>
        <v>0</v>
      </c>
      <c r="O151" s="92">
        <f t="shared" si="23"/>
        <v>0</v>
      </c>
      <c r="P151" s="92">
        <f t="shared" si="23"/>
        <v>0</v>
      </c>
      <c r="Q151" s="92">
        <f t="shared" si="23"/>
        <v>0</v>
      </c>
      <c r="R151" s="92"/>
      <c r="S151" s="271"/>
      <c r="T151" s="92"/>
      <c r="U151" s="92"/>
      <c r="V151" s="92"/>
      <c r="W151" s="92"/>
      <c r="X151" s="92"/>
      <c r="Y151" s="92"/>
      <c r="Z151" s="9"/>
      <c r="AA151" s="9"/>
      <c r="AB151" s="9"/>
      <c r="AC151" s="9"/>
      <c r="AD151" s="9"/>
      <c r="AE151" s="9"/>
      <c r="AF151" s="9"/>
      <c r="AG151" s="189"/>
      <c r="AH151" s="189"/>
      <c r="AI151" s="189"/>
      <c r="AJ151" s="189"/>
      <c r="AK151" s="189"/>
      <c r="AL151" s="189"/>
      <c r="AM151" s="189"/>
      <c r="AN151" s="189"/>
      <c r="AO151" s="189"/>
      <c r="AP151" s="189"/>
      <c r="AQ151" s="189"/>
      <c r="AR151" s="189"/>
      <c r="AS151" s="189"/>
      <c r="AT151" s="189"/>
      <c r="AU151" s="189"/>
      <c r="AV151" s="189"/>
      <c r="AW151" s="189"/>
    </row>
    <row r="152" spans="1:49" outlineLevel="1">
      <c r="A152" s="12"/>
      <c r="B152" s="12"/>
      <c r="C152" s="12"/>
      <c r="D152" s="12"/>
      <c r="E152" s="12"/>
      <c r="F152" s="138">
        <f>Asset10</f>
        <v>0</v>
      </c>
      <c r="G152" s="177">
        <f t="shared" ref="G152:Q152" si="24">(G50-G84-G118)/G$178</f>
        <v>0</v>
      </c>
      <c r="H152" s="92">
        <f t="shared" si="24"/>
        <v>0</v>
      </c>
      <c r="I152" s="92">
        <f t="shared" si="24"/>
        <v>0</v>
      </c>
      <c r="J152" s="92">
        <f t="shared" si="24"/>
        <v>0</v>
      </c>
      <c r="K152" s="92">
        <f t="shared" si="24"/>
        <v>0</v>
      </c>
      <c r="L152" s="92">
        <f t="shared" si="24"/>
        <v>0</v>
      </c>
      <c r="M152" s="92">
        <f t="shared" si="24"/>
        <v>0</v>
      </c>
      <c r="N152" s="92">
        <f t="shared" si="24"/>
        <v>0</v>
      </c>
      <c r="O152" s="92">
        <f t="shared" si="24"/>
        <v>0</v>
      </c>
      <c r="P152" s="92">
        <f t="shared" si="24"/>
        <v>0</v>
      </c>
      <c r="Q152" s="92">
        <f t="shared" si="24"/>
        <v>0</v>
      </c>
      <c r="R152" s="92"/>
      <c r="S152" s="271"/>
      <c r="T152" s="92"/>
      <c r="U152" s="92"/>
      <c r="V152" s="92"/>
      <c r="W152" s="92"/>
      <c r="X152" s="92"/>
      <c r="Y152" s="92"/>
      <c r="Z152" s="9"/>
      <c r="AA152" s="9"/>
      <c r="AB152" s="9"/>
      <c r="AC152" s="9"/>
      <c r="AD152" s="9"/>
      <c r="AE152" s="9"/>
      <c r="AF152" s="9"/>
      <c r="AG152" s="189"/>
      <c r="AH152" s="189"/>
      <c r="AI152" s="189"/>
      <c r="AJ152" s="189"/>
      <c r="AK152" s="189"/>
      <c r="AL152" s="189"/>
      <c r="AM152" s="189"/>
      <c r="AN152" s="189"/>
      <c r="AO152" s="189"/>
      <c r="AP152" s="189"/>
      <c r="AQ152" s="189"/>
      <c r="AR152" s="189"/>
      <c r="AS152" s="189"/>
      <c r="AT152" s="189"/>
      <c r="AU152" s="189"/>
      <c r="AV152" s="189"/>
      <c r="AW152" s="189"/>
    </row>
    <row r="153" spans="1:49" outlineLevel="1">
      <c r="A153" s="12"/>
      <c r="B153" s="12"/>
      <c r="C153" s="12"/>
      <c r="D153" s="12"/>
      <c r="E153" s="12"/>
      <c r="F153" s="138">
        <f>Asset11</f>
        <v>0</v>
      </c>
      <c r="G153" s="177">
        <f t="shared" ref="G153:Q153" si="25">(G51-G85-G119)/G$178</f>
        <v>0</v>
      </c>
      <c r="H153" s="92">
        <f t="shared" si="25"/>
        <v>0</v>
      </c>
      <c r="I153" s="92">
        <f t="shared" si="25"/>
        <v>0</v>
      </c>
      <c r="J153" s="92">
        <f t="shared" si="25"/>
        <v>0</v>
      </c>
      <c r="K153" s="92">
        <f t="shared" si="25"/>
        <v>0</v>
      </c>
      <c r="L153" s="92">
        <f t="shared" si="25"/>
        <v>0</v>
      </c>
      <c r="M153" s="92">
        <f t="shared" si="25"/>
        <v>0</v>
      </c>
      <c r="N153" s="92">
        <f t="shared" si="25"/>
        <v>0</v>
      </c>
      <c r="O153" s="92">
        <f t="shared" si="25"/>
        <v>0</v>
      </c>
      <c r="P153" s="92">
        <f t="shared" si="25"/>
        <v>0</v>
      </c>
      <c r="Q153" s="92">
        <f t="shared" si="25"/>
        <v>0</v>
      </c>
      <c r="R153" s="92"/>
      <c r="S153" s="271"/>
      <c r="T153" s="92"/>
      <c r="U153" s="92"/>
      <c r="V153" s="92"/>
      <c r="W153" s="92"/>
      <c r="X153" s="92"/>
      <c r="Y153" s="92"/>
      <c r="Z153" s="9"/>
      <c r="AA153" s="9"/>
      <c r="AB153" s="9"/>
      <c r="AC153" s="9"/>
      <c r="AD153" s="9"/>
      <c r="AE153" s="9"/>
      <c r="AF153" s="9"/>
      <c r="AG153" s="189"/>
      <c r="AH153" s="189"/>
      <c r="AI153" s="189"/>
      <c r="AJ153" s="189"/>
      <c r="AK153" s="189"/>
      <c r="AL153" s="189"/>
      <c r="AM153" s="189"/>
      <c r="AN153" s="189"/>
      <c r="AO153" s="189"/>
      <c r="AP153" s="189"/>
      <c r="AQ153" s="189"/>
      <c r="AR153" s="189"/>
      <c r="AS153" s="189"/>
      <c r="AT153" s="189"/>
      <c r="AU153" s="189"/>
      <c r="AV153" s="189"/>
      <c r="AW153" s="189"/>
    </row>
    <row r="154" spans="1:49" outlineLevel="1">
      <c r="A154" s="12"/>
      <c r="B154" s="12"/>
      <c r="C154" s="12"/>
      <c r="D154" s="12"/>
      <c r="E154" s="12"/>
      <c r="F154" s="138">
        <f>Asset12</f>
        <v>0</v>
      </c>
      <c r="G154" s="177">
        <f t="shared" ref="G154:Q154" si="26">(G52-G86-G120)/G$178</f>
        <v>0</v>
      </c>
      <c r="H154" s="92">
        <f t="shared" si="26"/>
        <v>0</v>
      </c>
      <c r="I154" s="92">
        <f t="shared" si="26"/>
        <v>0</v>
      </c>
      <c r="J154" s="92">
        <f t="shared" si="26"/>
        <v>0</v>
      </c>
      <c r="K154" s="92">
        <f t="shared" si="26"/>
        <v>0</v>
      </c>
      <c r="L154" s="92">
        <f t="shared" si="26"/>
        <v>0</v>
      </c>
      <c r="M154" s="92">
        <f t="shared" si="26"/>
        <v>0</v>
      </c>
      <c r="N154" s="92">
        <f t="shared" si="26"/>
        <v>0</v>
      </c>
      <c r="O154" s="92">
        <f t="shared" si="26"/>
        <v>0</v>
      </c>
      <c r="P154" s="92">
        <f t="shared" si="26"/>
        <v>0</v>
      </c>
      <c r="Q154" s="92">
        <f t="shared" si="26"/>
        <v>0</v>
      </c>
      <c r="R154" s="92"/>
      <c r="S154" s="271"/>
      <c r="T154" s="92"/>
      <c r="U154" s="92"/>
      <c r="V154" s="92"/>
      <c r="W154" s="92"/>
      <c r="X154" s="92"/>
      <c r="Y154" s="92"/>
      <c r="Z154" s="9"/>
      <c r="AA154" s="9"/>
      <c r="AB154" s="9"/>
      <c r="AC154" s="9"/>
      <c r="AD154" s="9"/>
      <c r="AE154" s="9"/>
      <c r="AF154" s="9"/>
      <c r="AG154" s="189"/>
      <c r="AH154" s="189"/>
      <c r="AI154" s="189"/>
      <c r="AJ154" s="189"/>
      <c r="AK154" s="189"/>
      <c r="AL154" s="189"/>
      <c r="AM154" s="189"/>
      <c r="AN154" s="189"/>
      <c r="AO154" s="189"/>
      <c r="AP154" s="189"/>
      <c r="AQ154" s="189"/>
      <c r="AR154" s="189"/>
      <c r="AS154" s="189"/>
      <c r="AT154" s="189"/>
      <c r="AU154" s="189"/>
      <c r="AV154" s="189"/>
      <c r="AW154" s="189"/>
    </row>
    <row r="155" spans="1:49" outlineLevel="1">
      <c r="A155" s="12"/>
      <c r="B155" s="12"/>
      <c r="C155" s="12"/>
      <c r="D155" s="12"/>
      <c r="E155" s="12"/>
      <c r="F155" s="138">
        <f>Asset13</f>
        <v>0</v>
      </c>
      <c r="G155" s="177">
        <f t="shared" ref="G155:Q155" si="27">(G53-G87-G121)/G$178</f>
        <v>0</v>
      </c>
      <c r="H155" s="92">
        <f t="shared" si="27"/>
        <v>0</v>
      </c>
      <c r="I155" s="92">
        <f t="shared" si="27"/>
        <v>0</v>
      </c>
      <c r="J155" s="92">
        <f t="shared" si="27"/>
        <v>0</v>
      </c>
      <c r="K155" s="92">
        <f t="shared" si="27"/>
        <v>0</v>
      </c>
      <c r="L155" s="92">
        <f t="shared" si="27"/>
        <v>0</v>
      </c>
      <c r="M155" s="92">
        <f t="shared" si="27"/>
        <v>0</v>
      </c>
      <c r="N155" s="92">
        <f t="shared" si="27"/>
        <v>0</v>
      </c>
      <c r="O155" s="92">
        <f t="shared" si="27"/>
        <v>0</v>
      </c>
      <c r="P155" s="92">
        <f t="shared" si="27"/>
        <v>0</v>
      </c>
      <c r="Q155" s="92">
        <f t="shared" si="27"/>
        <v>0</v>
      </c>
      <c r="R155" s="92"/>
      <c r="S155" s="271"/>
      <c r="T155" s="92"/>
      <c r="U155" s="92"/>
      <c r="V155" s="92"/>
      <c r="W155" s="92"/>
      <c r="X155" s="92"/>
      <c r="Y155" s="92"/>
      <c r="Z155" s="9"/>
      <c r="AA155" s="9"/>
      <c r="AB155" s="9"/>
      <c r="AC155" s="9"/>
      <c r="AD155" s="9"/>
      <c r="AE155" s="9"/>
      <c r="AF155" s="9"/>
      <c r="AG155" s="189"/>
      <c r="AH155" s="189"/>
      <c r="AI155" s="189"/>
      <c r="AJ155" s="189"/>
      <c r="AK155" s="189"/>
      <c r="AL155" s="189"/>
      <c r="AM155" s="189"/>
      <c r="AN155" s="189"/>
      <c r="AO155" s="189"/>
      <c r="AP155" s="189"/>
      <c r="AQ155" s="189"/>
      <c r="AR155" s="189"/>
      <c r="AS155" s="189"/>
      <c r="AT155" s="189"/>
      <c r="AU155" s="189"/>
      <c r="AV155" s="189"/>
      <c r="AW155" s="189"/>
    </row>
    <row r="156" spans="1:49" outlineLevel="1">
      <c r="A156" s="12"/>
      <c r="B156" s="12"/>
      <c r="C156" s="12"/>
      <c r="D156" s="12"/>
      <c r="E156" s="12"/>
      <c r="F156" s="138">
        <f>Asset14</f>
        <v>0</v>
      </c>
      <c r="G156" s="177">
        <f t="shared" ref="G156:Q156" si="28">(G54-G88-G122)/G$178</f>
        <v>0</v>
      </c>
      <c r="H156" s="92">
        <f t="shared" si="28"/>
        <v>0</v>
      </c>
      <c r="I156" s="92">
        <f t="shared" si="28"/>
        <v>0</v>
      </c>
      <c r="J156" s="92">
        <f t="shared" si="28"/>
        <v>0</v>
      </c>
      <c r="K156" s="92">
        <f t="shared" si="28"/>
        <v>0</v>
      </c>
      <c r="L156" s="92">
        <f t="shared" si="28"/>
        <v>0</v>
      </c>
      <c r="M156" s="92">
        <f t="shared" si="28"/>
        <v>0</v>
      </c>
      <c r="N156" s="92">
        <f t="shared" si="28"/>
        <v>0</v>
      </c>
      <c r="O156" s="92">
        <f t="shared" si="28"/>
        <v>0</v>
      </c>
      <c r="P156" s="92">
        <f t="shared" si="28"/>
        <v>0</v>
      </c>
      <c r="Q156" s="92">
        <f t="shared" si="28"/>
        <v>0</v>
      </c>
      <c r="R156" s="92"/>
      <c r="S156" s="271"/>
      <c r="T156" s="92"/>
      <c r="U156" s="92"/>
      <c r="V156" s="92"/>
      <c r="W156" s="92"/>
      <c r="X156" s="92"/>
      <c r="Y156" s="92"/>
      <c r="Z156" s="9"/>
      <c r="AA156" s="9"/>
      <c r="AB156" s="9"/>
      <c r="AC156" s="9"/>
      <c r="AD156" s="9"/>
      <c r="AE156" s="9"/>
      <c r="AF156" s="9"/>
      <c r="AG156" s="189"/>
      <c r="AH156" s="189"/>
      <c r="AI156" s="189"/>
      <c r="AJ156" s="189"/>
      <c r="AK156" s="189"/>
      <c r="AL156" s="189"/>
      <c r="AM156" s="189"/>
      <c r="AN156" s="189"/>
      <c r="AO156" s="189"/>
      <c r="AP156" s="189"/>
      <c r="AQ156" s="189"/>
      <c r="AR156" s="189"/>
      <c r="AS156" s="189"/>
      <c r="AT156" s="189"/>
      <c r="AU156" s="189"/>
      <c r="AV156" s="189"/>
      <c r="AW156" s="189"/>
    </row>
    <row r="157" spans="1:49" outlineLevel="1">
      <c r="A157" s="12"/>
      <c r="B157" s="12"/>
      <c r="C157" s="12"/>
      <c r="D157" s="12"/>
      <c r="E157" s="12"/>
      <c r="F157" s="138">
        <f>Asset15</f>
        <v>0</v>
      </c>
      <c r="G157" s="177">
        <f t="shared" ref="G157:Q157" si="29">(G55-G89-G123)/G$178</f>
        <v>0</v>
      </c>
      <c r="H157" s="92">
        <f t="shared" si="29"/>
        <v>0</v>
      </c>
      <c r="I157" s="92">
        <f t="shared" si="29"/>
        <v>0</v>
      </c>
      <c r="J157" s="92">
        <f t="shared" si="29"/>
        <v>0</v>
      </c>
      <c r="K157" s="92">
        <f t="shared" si="29"/>
        <v>0</v>
      </c>
      <c r="L157" s="92">
        <f t="shared" si="29"/>
        <v>0</v>
      </c>
      <c r="M157" s="92">
        <f t="shared" si="29"/>
        <v>0</v>
      </c>
      <c r="N157" s="92">
        <f t="shared" si="29"/>
        <v>0</v>
      </c>
      <c r="O157" s="92">
        <f t="shared" si="29"/>
        <v>0</v>
      </c>
      <c r="P157" s="92">
        <f t="shared" si="29"/>
        <v>0</v>
      </c>
      <c r="Q157" s="92">
        <f t="shared" si="29"/>
        <v>0</v>
      </c>
      <c r="R157" s="92"/>
      <c r="S157" s="271"/>
      <c r="T157" s="92"/>
      <c r="U157" s="92"/>
      <c r="V157" s="92"/>
      <c r="W157" s="92"/>
      <c r="X157" s="92"/>
      <c r="Y157" s="92"/>
      <c r="Z157" s="9"/>
      <c r="AA157" s="9"/>
      <c r="AB157" s="9"/>
      <c r="AC157" s="9"/>
      <c r="AD157" s="9"/>
      <c r="AE157" s="9"/>
      <c r="AF157" s="9"/>
      <c r="AG157" s="189"/>
      <c r="AH157" s="189"/>
      <c r="AI157" s="189"/>
      <c r="AJ157" s="189"/>
      <c r="AK157" s="189"/>
      <c r="AL157" s="189"/>
      <c r="AM157" s="189"/>
      <c r="AN157" s="189"/>
      <c r="AO157" s="189"/>
      <c r="AP157" s="189"/>
      <c r="AQ157" s="189"/>
      <c r="AR157" s="189"/>
      <c r="AS157" s="189"/>
      <c r="AT157" s="189"/>
      <c r="AU157" s="189"/>
      <c r="AV157" s="189"/>
      <c r="AW157" s="189"/>
    </row>
    <row r="158" spans="1:49" outlineLevel="1">
      <c r="A158" s="12"/>
      <c r="B158" s="12"/>
      <c r="C158" s="12"/>
      <c r="D158" s="12"/>
      <c r="E158" s="12"/>
      <c r="F158" s="138">
        <f>Asset16</f>
        <v>0</v>
      </c>
      <c r="G158" s="177">
        <f t="shared" ref="G158:Q158" si="30">(G56-G90-G124)/G$178</f>
        <v>0</v>
      </c>
      <c r="H158" s="92">
        <f t="shared" si="30"/>
        <v>0</v>
      </c>
      <c r="I158" s="92">
        <f t="shared" si="30"/>
        <v>0</v>
      </c>
      <c r="J158" s="92">
        <f t="shared" si="30"/>
        <v>0</v>
      </c>
      <c r="K158" s="92">
        <f t="shared" si="30"/>
        <v>0</v>
      </c>
      <c r="L158" s="92">
        <f t="shared" si="30"/>
        <v>0</v>
      </c>
      <c r="M158" s="92">
        <f t="shared" si="30"/>
        <v>0</v>
      </c>
      <c r="N158" s="92">
        <f t="shared" si="30"/>
        <v>0</v>
      </c>
      <c r="O158" s="92">
        <f t="shared" si="30"/>
        <v>0</v>
      </c>
      <c r="P158" s="92">
        <f t="shared" si="30"/>
        <v>0</v>
      </c>
      <c r="Q158" s="92">
        <f t="shared" si="30"/>
        <v>0</v>
      </c>
      <c r="R158" s="92"/>
      <c r="S158" s="271"/>
      <c r="T158" s="92"/>
      <c r="U158" s="92"/>
      <c r="V158" s="92"/>
      <c r="W158" s="92"/>
      <c r="X158" s="92"/>
      <c r="Y158" s="92"/>
      <c r="Z158" s="9"/>
      <c r="AA158" s="9"/>
      <c r="AB158" s="9"/>
      <c r="AC158" s="9"/>
      <c r="AD158" s="9"/>
      <c r="AE158" s="9"/>
      <c r="AF158" s="9"/>
      <c r="AG158" s="189"/>
      <c r="AH158" s="189"/>
      <c r="AI158" s="189"/>
      <c r="AJ158" s="189"/>
      <c r="AK158" s="189"/>
      <c r="AL158" s="189"/>
      <c r="AM158" s="189"/>
      <c r="AN158" s="189"/>
      <c r="AO158" s="189"/>
      <c r="AP158" s="189"/>
      <c r="AQ158" s="189"/>
      <c r="AR158" s="189"/>
      <c r="AS158" s="189"/>
      <c r="AT158" s="189"/>
      <c r="AU158" s="189"/>
      <c r="AV158" s="189"/>
      <c r="AW158" s="189"/>
    </row>
    <row r="159" spans="1:49" outlineLevel="1">
      <c r="A159" s="12"/>
      <c r="B159" s="12"/>
      <c r="C159" s="12"/>
      <c r="D159" s="12"/>
      <c r="E159" s="12"/>
      <c r="F159" s="138">
        <f>Asset17</f>
        <v>0</v>
      </c>
      <c r="G159" s="177">
        <f t="shared" ref="G159:Q159" si="31">(G57-G91-G125)/G$178</f>
        <v>0</v>
      </c>
      <c r="H159" s="92">
        <f t="shared" si="31"/>
        <v>0</v>
      </c>
      <c r="I159" s="92">
        <f t="shared" si="31"/>
        <v>0</v>
      </c>
      <c r="J159" s="92">
        <f t="shared" si="31"/>
        <v>0</v>
      </c>
      <c r="K159" s="92">
        <f t="shared" si="31"/>
        <v>0</v>
      </c>
      <c r="L159" s="92">
        <f t="shared" si="31"/>
        <v>0</v>
      </c>
      <c r="M159" s="92">
        <f t="shared" si="31"/>
        <v>0</v>
      </c>
      <c r="N159" s="92">
        <f t="shared" si="31"/>
        <v>0</v>
      </c>
      <c r="O159" s="92">
        <f t="shared" si="31"/>
        <v>0</v>
      </c>
      <c r="P159" s="92">
        <f t="shared" si="31"/>
        <v>0</v>
      </c>
      <c r="Q159" s="92">
        <f t="shared" si="31"/>
        <v>0</v>
      </c>
      <c r="R159" s="92"/>
      <c r="S159" s="271"/>
      <c r="T159" s="92"/>
      <c r="U159" s="92"/>
      <c r="V159" s="92"/>
      <c r="W159" s="92"/>
      <c r="X159" s="92"/>
      <c r="Y159" s="92"/>
      <c r="Z159" s="9"/>
      <c r="AA159" s="9"/>
      <c r="AB159" s="9"/>
      <c r="AC159" s="9"/>
      <c r="AD159" s="9"/>
      <c r="AE159" s="9"/>
      <c r="AF159" s="9"/>
      <c r="AG159" s="189"/>
      <c r="AH159" s="189"/>
      <c r="AI159" s="189"/>
      <c r="AJ159" s="189"/>
      <c r="AK159" s="189"/>
      <c r="AL159" s="189"/>
      <c r="AM159" s="189"/>
      <c r="AN159" s="189"/>
      <c r="AO159" s="189"/>
      <c r="AP159" s="189"/>
      <c r="AQ159" s="189"/>
      <c r="AR159" s="189"/>
      <c r="AS159" s="189"/>
      <c r="AT159" s="189"/>
      <c r="AU159" s="189"/>
      <c r="AV159" s="189"/>
      <c r="AW159" s="189"/>
    </row>
    <row r="160" spans="1:49" outlineLevel="1">
      <c r="A160" s="12"/>
      <c r="B160" s="12"/>
      <c r="C160" s="12"/>
      <c r="D160" s="12"/>
      <c r="E160" s="12"/>
      <c r="F160" s="138">
        <f>Asset18</f>
        <v>0</v>
      </c>
      <c r="G160" s="177">
        <f t="shared" ref="G160:Q160" si="32">(G58-G92-G126)/G$178</f>
        <v>0</v>
      </c>
      <c r="H160" s="92">
        <f t="shared" si="32"/>
        <v>0</v>
      </c>
      <c r="I160" s="92">
        <f t="shared" si="32"/>
        <v>0</v>
      </c>
      <c r="J160" s="92">
        <f t="shared" si="32"/>
        <v>0</v>
      </c>
      <c r="K160" s="92">
        <f t="shared" si="32"/>
        <v>0</v>
      </c>
      <c r="L160" s="92">
        <f t="shared" si="32"/>
        <v>0</v>
      </c>
      <c r="M160" s="92">
        <f t="shared" si="32"/>
        <v>0</v>
      </c>
      <c r="N160" s="92">
        <f t="shared" si="32"/>
        <v>0</v>
      </c>
      <c r="O160" s="92">
        <f t="shared" si="32"/>
        <v>0</v>
      </c>
      <c r="P160" s="92">
        <f t="shared" si="32"/>
        <v>0</v>
      </c>
      <c r="Q160" s="92">
        <f t="shared" si="32"/>
        <v>0</v>
      </c>
      <c r="R160" s="92"/>
      <c r="S160" s="271"/>
      <c r="T160" s="92"/>
      <c r="U160" s="92"/>
      <c r="V160" s="92"/>
      <c r="W160" s="92"/>
      <c r="X160" s="92"/>
      <c r="Y160" s="92"/>
      <c r="Z160" s="9"/>
      <c r="AA160" s="9"/>
      <c r="AB160" s="9"/>
      <c r="AC160" s="9"/>
      <c r="AD160" s="9"/>
      <c r="AE160" s="9"/>
      <c r="AF160" s="9"/>
      <c r="AG160" s="189"/>
      <c r="AH160" s="189"/>
      <c r="AI160" s="189"/>
      <c r="AJ160" s="189"/>
      <c r="AK160" s="189"/>
      <c r="AL160" s="189"/>
      <c r="AM160" s="189"/>
      <c r="AN160" s="189"/>
      <c r="AO160" s="189"/>
      <c r="AP160" s="189"/>
      <c r="AQ160" s="189"/>
      <c r="AR160" s="189"/>
      <c r="AS160" s="189"/>
      <c r="AT160" s="189"/>
      <c r="AU160" s="189"/>
      <c r="AV160" s="189"/>
      <c r="AW160" s="189"/>
    </row>
    <row r="161" spans="1:49" outlineLevel="1">
      <c r="A161" s="12"/>
      <c r="B161" s="12"/>
      <c r="C161" s="12"/>
      <c r="D161" s="12"/>
      <c r="E161" s="12"/>
      <c r="F161" s="138">
        <f>Asset19</f>
        <v>0</v>
      </c>
      <c r="G161" s="177">
        <f t="shared" ref="G161:Q161" si="33">(G59-G93-G127)/G$178</f>
        <v>0</v>
      </c>
      <c r="H161" s="92">
        <f t="shared" si="33"/>
        <v>0</v>
      </c>
      <c r="I161" s="92">
        <f t="shared" si="33"/>
        <v>0</v>
      </c>
      <c r="J161" s="92">
        <f t="shared" si="33"/>
        <v>0</v>
      </c>
      <c r="K161" s="92">
        <f t="shared" si="33"/>
        <v>0</v>
      </c>
      <c r="L161" s="92">
        <f t="shared" si="33"/>
        <v>0</v>
      </c>
      <c r="M161" s="92">
        <f t="shared" si="33"/>
        <v>0</v>
      </c>
      <c r="N161" s="92">
        <f t="shared" si="33"/>
        <v>0</v>
      </c>
      <c r="O161" s="92">
        <f t="shared" si="33"/>
        <v>0</v>
      </c>
      <c r="P161" s="92">
        <f t="shared" si="33"/>
        <v>0</v>
      </c>
      <c r="Q161" s="92">
        <f t="shared" si="33"/>
        <v>0</v>
      </c>
      <c r="R161" s="92"/>
      <c r="S161" s="271"/>
      <c r="T161" s="92"/>
      <c r="U161" s="92"/>
      <c r="V161" s="92"/>
      <c r="W161" s="92"/>
      <c r="X161" s="92"/>
      <c r="Y161" s="92"/>
      <c r="Z161" s="9"/>
      <c r="AA161" s="9"/>
      <c r="AB161" s="9"/>
      <c r="AC161" s="9"/>
      <c r="AD161" s="9"/>
      <c r="AE161" s="9"/>
      <c r="AF161" s="9"/>
      <c r="AG161" s="189"/>
      <c r="AH161" s="189"/>
      <c r="AI161" s="189"/>
      <c r="AJ161" s="189"/>
      <c r="AK161" s="189"/>
      <c r="AL161" s="189"/>
      <c r="AM161" s="189"/>
      <c r="AN161" s="189"/>
      <c r="AO161" s="189"/>
      <c r="AP161" s="189"/>
      <c r="AQ161" s="189"/>
      <c r="AR161" s="189"/>
      <c r="AS161" s="189"/>
      <c r="AT161" s="189"/>
      <c r="AU161" s="189"/>
      <c r="AV161" s="189"/>
      <c r="AW161" s="189"/>
    </row>
    <row r="162" spans="1:49" outlineLevel="1">
      <c r="A162" s="12"/>
      <c r="B162" s="12"/>
      <c r="C162" s="12"/>
      <c r="D162" s="12"/>
      <c r="E162" s="12"/>
      <c r="F162" s="138">
        <f>Asset20</f>
        <v>0</v>
      </c>
      <c r="G162" s="177">
        <f t="shared" ref="G162:Q162" si="34">(G60-G94-G128)/G$178</f>
        <v>0</v>
      </c>
      <c r="H162" s="92">
        <f t="shared" si="34"/>
        <v>0</v>
      </c>
      <c r="I162" s="92">
        <f t="shared" si="34"/>
        <v>0</v>
      </c>
      <c r="J162" s="92">
        <f t="shared" si="34"/>
        <v>0</v>
      </c>
      <c r="K162" s="92">
        <f t="shared" si="34"/>
        <v>0</v>
      </c>
      <c r="L162" s="92">
        <f t="shared" si="34"/>
        <v>0</v>
      </c>
      <c r="M162" s="92">
        <f t="shared" si="34"/>
        <v>0</v>
      </c>
      <c r="N162" s="92">
        <f t="shared" si="34"/>
        <v>0</v>
      </c>
      <c r="O162" s="92">
        <f t="shared" si="34"/>
        <v>0</v>
      </c>
      <c r="P162" s="92">
        <f t="shared" si="34"/>
        <v>0</v>
      </c>
      <c r="Q162" s="92">
        <f t="shared" si="34"/>
        <v>0</v>
      </c>
      <c r="R162" s="92"/>
      <c r="S162" s="273"/>
      <c r="T162" s="92"/>
      <c r="U162" s="92"/>
      <c r="V162" s="92"/>
      <c r="W162" s="92"/>
      <c r="X162" s="92"/>
      <c r="Y162" s="92"/>
      <c r="Z162" s="9"/>
      <c r="AA162" s="9"/>
      <c r="AB162" s="9"/>
      <c r="AC162" s="9"/>
      <c r="AD162" s="9"/>
      <c r="AE162" s="9"/>
      <c r="AF162" s="9"/>
      <c r="AG162" s="189"/>
      <c r="AH162" s="189"/>
      <c r="AI162" s="189"/>
      <c r="AJ162" s="189"/>
      <c r="AK162" s="189"/>
      <c r="AL162" s="189"/>
      <c r="AM162" s="189"/>
      <c r="AN162" s="189"/>
      <c r="AO162" s="189"/>
      <c r="AP162" s="189"/>
      <c r="AQ162" s="189"/>
      <c r="AR162" s="189"/>
      <c r="AS162" s="189"/>
      <c r="AT162" s="189"/>
      <c r="AU162" s="189"/>
      <c r="AV162" s="189"/>
      <c r="AW162" s="189"/>
    </row>
    <row r="163" spans="1:49" outlineLevel="1">
      <c r="A163" s="12"/>
      <c r="B163" s="12"/>
      <c r="C163" s="12"/>
      <c r="D163" s="12"/>
      <c r="E163" s="12"/>
      <c r="F163" s="40">
        <f>Asset21</f>
        <v>0</v>
      </c>
      <c r="G163" s="177">
        <f t="shared" ref="G163:Q163" si="35">(G61-G95-G129)/G$178</f>
        <v>0</v>
      </c>
      <c r="H163" s="92">
        <f t="shared" si="35"/>
        <v>0</v>
      </c>
      <c r="I163" s="92">
        <f t="shared" si="35"/>
        <v>0</v>
      </c>
      <c r="J163" s="92">
        <f t="shared" si="35"/>
        <v>0</v>
      </c>
      <c r="K163" s="92">
        <f t="shared" si="35"/>
        <v>0</v>
      </c>
      <c r="L163" s="92">
        <f t="shared" si="35"/>
        <v>0</v>
      </c>
      <c r="M163" s="92">
        <f t="shared" si="35"/>
        <v>0</v>
      </c>
      <c r="N163" s="92">
        <f t="shared" si="35"/>
        <v>0</v>
      </c>
      <c r="O163" s="92">
        <f t="shared" si="35"/>
        <v>0</v>
      </c>
      <c r="P163" s="92">
        <f t="shared" si="35"/>
        <v>0</v>
      </c>
      <c r="Q163" s="92">
        <f t="shared" si="35"/>
        <v>0</v>
      </c>
      <c r="R163" s="92"/>
      <c r="S163" s="274"/>
      <c r="T163" s="92"/>
      <c r="U163" s="92"/>
      <c r="V163" s="92"/>
      <c r="W163" s="92"/>
      <c r="X163" s="92"/>
      <c r="Y163" s="92"/>
      <c r="Z163" s="9"/>
      <c r="AA163" s="9"/>
      <c r="AB163" s="9"/>
      <c r="AC163" s="9"/>
      <c r="AD163" s="9"/>
      <c r="AE163" s="9"/>
      <c r="AF163" s="9"/>
      <c r="AG163" s="189"/>
      <c r="AH163" s="189"/>
      <c r="AI163" s="189"/>
      <c r="AJ163" s="189"/>
      <c r="AK163" s="189"/>
      <c r="AL163" s="189"/>
      <c r="AM163" s="189"/>
      <c r="AN163" s="189"/>
      <c r="AO163" s="189"/>
      <c r="AP163" s="189"/>
      <c r="AQ163" s="189"/>
      <c r="AR163" s="189"/>
      <c r="AS163" s="189"/>
      <c r="AT163" s="189"/>
      <c r="AU163" s="189"/>
      <c r="AV163" s="189"/>
      <c r="AW163" s="189"/>
    </row>
    <row r="164" spans="1:49" outlineLevel="1">
      <c r="A164" s="12"/>
      <c r="B164" s="12"/>
      <c r="C164" s="12"/>
      <c r="D164" s="12"/>
      <c r="E164" s="12"/>
      <c r="F164" s="40">
        <f>Asset22</f>
        <v>0</v>
      </c>
      <c r="G164" s="177">
        <f t="shared" ref="G164:Q164" si="36">(G62-G96-G130)/G$178</f>
        <v>0</v>
      </c>
      <c r="H164" s="92">
        <f t="shared" si="36"/>
        <v>0</v>
      </c>
      <c r="I164" s="92">
        <f t="shared" si="36"/>
        <v>0</v>
      </c>
      <c r="J164" s="92">
        <f t="shared" si="36"/>
        <v>0</v>
      </c>
      <c r="K164" s="92">
        <f t="shared" si="36"/>
        <v>0</v>
      </c>
      <c r="L164" s="92">
        <f t="shared" si="36"/>
        <v>0</v>
      </c>
      <c r="M164" s="92">
        <f t="shared" si="36"/>
        <v>0</v>
      </c>
      <c r="N164" s="92">
        <f t="shared" si="36"/>
        <v>0</v>
      </c>
      <c r="O164" s="92">
        <f t="shared" si="36"/>
        <v>0</v>
      </c>
      <c r="P164" s="92">
        <f t="shared" si="36"/>
        <v>0</v>
      </c>
      <c r="Q164" s="92">
        <f t="shared" si="36"/>
        <v>0</v>
      </c>
      <c r="R164" s="92"/>
      <c r="S164" s="274"/>
      <c r="T164" s="92"/>
      <c r="U164" s="92"/>
      <c r="V164" s="92"/>
      <c r="W164" s="92"/>
      <c r="X164" s="92"/>
      <c r="Y164" s="92"/>
      <c r="Z164" s="9"/>
      <c r="AA164" s="9"/>
      <c r="AB164" s="9"/>
      <c r="AC164" s="9"/>
      <c r="AD164" s="9"/>
      <c r="AE164" s="9"/>
      <c r="AF164" s="9"/>
      <c r="AG164" s="189"/>
      <c r="AH164" s="189"/>
      <c r="AI164" s="189"/>
      <c r="AJ164" s="189"/>
      <c r="AK164" s="189"/>
      <c r="AL164" s="189"/>
      <c r="AM164" s="189"/>
      <c r="AN164" s="189"/>
      <c r="AO164" s="189"/>
      <c r="AP164" s="189"/>
      <c r="AQ164" s="189"/>
      <c r="AR164" s="189"/>
      <c r="AS164" s="189"/>
      <c r="AT164" s="189"/>
      <c r="AU164" s="189"/>
      <c r="AV164" s="189"/>
      <c r="AW164" s="189"/>
    </row>
    <row r="165" spans="1:49" outlineLevel="1">
      <c r="A165" s="12"/>
      <c r="B165" s="12"/>
      <c r="C165" s="12"/>
      <c r="D165" s="12"/>
      <c r="E165" s="12"/>
      <c r="F165" s="40">
        <f>Asset23</f>
        <v>0</v>
      </c>
      <c r="G165" s="177">
        <f t="shared" ref="G165:Q165" si="37">(G63-G97-G131)/G$178</f>
        <v>0</v>
      </c>
      <c r="H165" s="92">
        <f t="shared" si="37"/>
        <v>0</v>
      </c>
      <c r="I165" s="92">
        <f t="shared" si="37"/>
        <v>0</v>
      </c>
      <c r="J165" s="92">
        <f t="shared" si="37"/>
        <v>0</v>
      </c>
      <c r="K165" s="92">
        <f t="shared" si="37"/>
        <v>0</v>
      </c>
      <c r="L165" s="92">
        <f t="shared" si="37"/>
        <v>0</v>
      </c>
      <c r="M165" s="92">
        <f t="shared" si="37"/>
        <v>0</v>
      </c>
      <c r="N165" s="92">
        <f t="shared" si="37"/>
        <v>0</v>
      </c>
      <c r="O165" s="92">
        <f t="shared" si="37"/>
        <v>0</v>
      </c>
      <c r="P165" s="92">
        <f t="shared" si="37"/>
        <v>0</v>
      </c>
      <c r="Q165" s="92">
        <f t="shared" si="37"/>
        <v>0</v>
      </c>
      <c r="R165" s="92"/>
      <c r="S165" s="274"/>
      <c r="T165" s="92"/>
      <c r="U165" s="92"/>
      <c r="V165" s="92"/>
      <c r="W165" s="92"/>
      <c r="X165" s="92"/>
      <c r="Y165" s="92"/>
      <c r="Z165" s="9"/>
      <c r="AA165" s="9"/>
      <c r="AB165" s="9"/>
      <c r="AC165" s="9"/>
      <c r="AD165" s="9"/>
      <c r="AE165" s="9"/>
      <c r="AF165" s="9"/>
      <c r="AG165" s="189"/>
      <c r="AH165" s="189"/>
      <c r="AI165" s="189"/>
      <c r="AJ165" s="189"/>
      <c r="AK165" s="189"/>
      <c r="AL165" s="189"/>
      <c r="AM165" s="189"/>
      <c r="AN165" s="189"/>
      <c r="AO165" s="189"/>
      <c r="AP165" s="189"/>
      <c r="AQ165" s="189"/>
      <c r="AR165" s="189"/>
      <c r="AS165" s="189"/>
      <c r="AT165" s="189"/>
      <c r="AU165" s="189"/>
      <c r="AV165" s="189"/>
      <c r="AW165" s="189"/>
    </row>
    <row r="166" spans="1:49" outlineLevel="1">
      <c r="A166" s="12"/>
      <c r="B166" s="12"/>
      <c r="C166" s="12"/>
      <c r="D166" s="12"/>
      <c r="E166" s="12"/>
      <c r="F166" s="40">
        <f>Asset24</f>
        <v>0</v>
      </c>
      <c r="G166" s="177">
        <f t="shared" ref="G166:Q166" si="38">(G64-G98-G132)/G$178</f>
        <v>0</v>
      </c>
      <c r="H166" s="92">
        <f t="shared" si="38"/>
        <v>0</v>
      </c>
      <c r="I166" s="92">
        <f t="shared" si="38"/>
        <v>0</v>
      </c>
      <c r="J166" s="92">
        <f t="shared" si="38"/>
        <v>0</v>
      </c>
      <c r="K166" s="92">
        <f t="shared" si="38"/>
        <v>0</v>
      </c>
      <c r="L166" s="92">
        <f t="shared" si="38"/>
        <v>0</v>
      </c>
      <c r="M166" s="92">
        <f t="shared" si="38"/>
        <v>0</v>
      </c>
      <c r="N166" s="92">
        <f t="shared" si="38"/>
        <v>0</v>
      </c>
      <c r="O166" s="92">
        <f t="shared" si="38"/>
        <v>0</v>
      </c>
      <c r="P166" s="92">
        <f t="shared" si="38"/>
        <v>0</v>
      </c>
      <c r="Q166" s="92">
        <f t="shared" si="38"/>
        <v>0</v>
      </c>
      <c r="R166" s="92"/>
      <c r="S166" s="274"/>
      <c r="T166" s="92"/>
      <c r="U166" s="92"/>
      <c r="V166" s="92"/>
      <c r="W166" s="92"/>
      <c r="X166" s="92"/>
      <c r="Y166" s="92"/>
      <c r="Z166" s="9"/>
      <c r="AA166" s="9"/>
      <c r="AB166" s="9"/>
      <c r="AC166" s="9"/>
      <c r="AD166" s="9"/>
      <c r="AE166" s="9"/>
      <c r="AF166" s="9"/>
      <c r="AG166" s="189"/>
      <c r="AH166" s="189"/>
      <c r="AI166" s="189"/>
      <c r="AJ166" s="189"/>
      <c r="AK166" s="189"/>
      <c r="AL166" s="189"/>
      <c r="AM166" s="189"/>
      <c r="AN166" s="189"/>
      <c r="AO166" s="189"/>
      <c r="AP166" s="189"/>
      <c r="AQ166" s="189"/>
      <c r="AR166" s="189"/>
      <c r="AS166" s="189"/>
      <c r="AT166" s="189"/>
      <c r="AU166" s="189"/>
      <c r="AV166" s="189"/>
      <c r="AW166" s="189"/>
    </row>
    <row r="167" spans="1:49" outlineLevel="1">
      <c r="A167" s="12"/>
      <c r="B167" s="12"/>
      <c r="C167" s="12"/>
      <c r="D167" s="12"/>
      <c r="E167" s="12"/>
      <c r="F167" s="40">
        <f>Asset25</f>
        <v>0</v>
      </c>
      <c r="G167" s="177">
        <f t="shared" ref="G167:Q167" si="39">(G65-G99-G133)/G$178</f>
        <v>0</v>
      </c>
      <c r="H167" s="92">
        <f t="shared" si="39"/>
        <v>0</v>
      </c>
      <c r="I167" s="92">
        <f t="shared" si="39"/>
        <v>0</v>
      </c>
      <c r="J167" s="92">
        <f t="shared" si="39"/>
        <v>0</v>
      </c>
      <c r="K167" s="92">
        <f t="shared" si="39"/>
        <v>0</v>
      </c>
      <c r="L167" s="92">
        <f t="shared" si="39"/>
        <v>0</v>
      </c>
      <c r="M167" s="92">
        <f t="shared" si="39"/>
        <v>0</v>
      </c>
      <c r="N167" s="92">
        <f t="shared" si="39"/>
        <v>0</v>
      </c>
      <c r="O167" s="92">
        <f t="shared" si="39"/>
        <v>0</v>
      </c>
      <c r="P167" s="92">
        <f t="shared" si="39"/>
        <v>0</v>
      </c>
      <c r="Q167" s="92">
        <f t="shared" si="39"/>
        <v>0</v>
      </c>
      <c r="R167" s="92"/>
      <c r="S167" s="274"/>
      <c r="T167" s="92"/>
      <c r="U167" s="92"/>
      <c r="V167" s="92"/>
      <c r="W167" s="92"/>
      <c r="X167" s="92"/>
      <c r="Y167" s="92"/>
      <c r="Z167" s="9"/>
      <c r="AA167" s="9"/>
      <c r="AB167" s="9"/>
      <c r="AC167" s="9"/>
      <c r="AD167" s="9"/>
      <c r="AE167" s="9"/>
      <c r="AF167" s="9"/>
      <c r="AG167" s="189"/>
      <c r="AH167" s="189"/>
      <c r="AI167" s="189"/>
      <c r="AJ167" s="189"/>
      <c r="AK167" s="189"/>
      <c r="AL167" s="189"/>
      <c r="AM167" s="189"/>
      <c r="AN167" s="189"/>
      <c r="AO167" s="189"/>
      <c r="AP167" s="189"/>
      <c r="AQ167" s="189"/>
      <c r="AR167" s="189"/>
      <c r="AS167" s="189"/>
      <c r="AT167" s="189"/>
      <c r="AU167" s="189"/>
      <c r="AV167" s="189"/>
      <c r="AW167" s="189"/>
    </row>
    <row r="168" spans="1:49" outlineLevel="1">
      <c r="A168" s="12"/>
      <c r="B168" s="12"/>
      <c r="C168" s="12"/>
      <c r="D168" s="12"/>
      <c r="E168" s="12"/>
      <c r="F168" s="40">
        <f>Asset26</f>
        <v>0</v>
      </c>
      <c r="G168" s="177">
        <f t="shared" ref="G168:Q168" si="40">(G66-G100-G134)/G$178</f>
        <v>0</v>
      </c>
      <c r="H168" s="92">
        <f t="shared" si="40"/>
        <v>0</v>
      </c>
      <c r="I168" s="92">
        <f t="shared" si="40"/>
        <v>0</v>
      </c>
      <c r="J168" s="92">
        <f t="shared" si="40"/>
        <v>0</v>
      </c>
      <c r="K168" s="92">
        <f t="shared" si="40"/>
        <v>0</v>
      </c>
      <c r="L168" s="92">
        <f t="shared" si="40"/>
        <v>0</v>
      </c>
      <c r="M168" s="92">
        <f t="shared" si="40"/>
        <v>0</v>
      </c>
      <c r="N168" s="92">
        <f t="shared" si="40"/>
        <v>0</v>
      </c>
      <c r="O168" s="92">
        <f t="shared" si="40"/>
        <v>0</v>
      </c>
      <c r="P168" s="92">
        <f t="shared" si="40"/>
        <v>0</v>
      </c>
      <c r="Q168" s="92">
        <f t="shared" si="40"/>
        <v>0</v>
      </c>
      <c r="R168" s="92"/>
      <c r="S168" s="274"/>
      <c r="T168" s="92"/>
      <c r="U168" s="92"/>
      <c r="V168" s="92"/>
      <c r="W168" s="92"/>
      <c r="X168" s="92"/>
      <c r="Y168" s="92"/>
      <c r="Z168" s="9"/>
      <c r="AA168" s="9"/>
      <c r="AB168" s="9"/>
      <c r="AC168" s="9"/>
      <c r="AD168" s="9"/>
      <c r="AE168" s="9"/>
      <c r="AF168" s="9"/>
      <c r="AG168" s="189"/>
      <c r="AH168" s="189"/>
      <c r="AI168" s="189"/>
      <c r="AJ168" s="189"/>
      <c r="AK168" s="189"/>
      <c r="AL168" s="189"/>
      <c r="AM168" s="189"/>
      <c r="AN168" s="189"/>
      <c r="AO168" s="189"/>
      <c r="AP168" s="189"/>
      <c r="AQ168" s="189"/>
      <c r="AR168" s="189"/>
      <c r="AS168" s="189"/>
      <c r="AT168" s="189"/>
      <c r="AU168" s="189"/>
      <c r="AV168" s="189"/>
      <c r="AW168" s="189"/>
    </row>
    <row r="169" spans="1:49" outlineLevel="1">
      <c r="A169" s="12"/>
      <c r="B169" s="12"/>
      <c r="C169" s="12"/>
      <c r="D169" s="12"/>
      <c r="E169" s="12"/>
      <c r="F169" s="40">
        <f>Asset27</f>
        <v>0</v>
      </c>
      <c r="G169" s="177">
        <f t="shared" ref="G169:Q169" si="41">(G67-G101-G135)/G$178</f>
        <v>0</v>
      </c>
      <c r="H169" s="92">
        <f t="shared" si="41"/>
        <v>0</v>
      </c>
      <c r="I169" s="92">
        <f t="shared" si="41"/>
        <v>0</v>
      </c>
      <c r="J169" s="92">
        <f t="shared" si="41"/>
        <v>0</v>
      </c>
      <c r="K169" s="92">
        <f t="shared" si="41"/>
        <v>0</v>
      </c>
      <c r="L169" s="92">
        <f t="shared" si="41"/>
        <v>0</v>
      </c>
      <c r="M169" s="92">
        <f t="shared" si="41"/>
        <v>0</v>
      </c>
      <c r="N169" s="92">
        <f t="shared" si="41"/>
        <v>0</v>
      </c>
      <c r="O169" s="92">
        <f t="shared" si="41"/>
        <v>0</v>
      </c>
      <c r="P169" s="92">
        <f t="shared" si="41"/>
        <v>0</v>
      </c>
      <c r="Q169" s="92">
        <f t="shared" si="41"/>
        <v>0</v>
      </c>
      <c r="R169" s="92"/>
      <c r="S169" s="274"/>
      <c r="T169" s="92"/>
      <c r="U169" s="92"/>
      <c r="V169" s="92"/>
      <c r="W169" s="92"/>
      <c r="X169" s="92"/>
      <c r="Y169" s="92"/>
      <c r="Z169" s="9"/>
      <c r="AA169" s="9"/>
      <c r="AB169" s="9"/>
      <c r="AC169" s="9"/>
      <c r="AD169" s="9"/>
      <c r="AE169" s="9"/>
      <c r="AF169" s="9"/>
      <c r="AG169" s="189"/>
      <c r="AH169" s="189"/>
      <c r="AI169" s="189"/>
      <c r="AJ169" s="189"/>
      <c r="AK169" s="189"/>
      <c r="AL169" s="189"/>
      <c r="AM169" s="189"/>
      <c r="AN169" s="189"/>
      <c r="AO169" s="189"/>
      <c r="AP169" s="189"/>
      <c r="AQ169" s="189"/>
      <c r="AR169" s="189"/>
      <c r="AS169" s="189"/>
      <c r="AT169" s="189"/>
      <c r="AU169" s="189"/>
      <c r="AV169" s="189"/>
      <c r="AW169" s="189"/>
    </row>
    <row r="170" spans="1:49" outlineLevel="1">
      <c r="A170" s="12"/>
      <c r="B170" s="12"/>
      <c r="C170" s="12"/>
      <c r="D170" s="12"/>
      <c r="E170" s="12"/>
      <c r="F170" s="40">
        <f>Asset28</f>
        <v>0</v>
      </c>
      <c r="G170" s="177">
        <f t="shared" ref="G170:Q170" si="42">(G68-G102-G136)/G$178</f>
        <v>0</v>
      </c>
      <c r="H170" s="92">
        <f t="shared" si="42"/>
        <v>0</v>
      </c>
      <c r="I170" s="92">
        <f t="shared" si="42"/>
        <v>0</v>
      </c>
      <c r="J170" s="92">
        <f t="shared" si="42"/>
        <v>0</v>
      </c>
      <c r="K170" s="92">
        <f t="shared" si="42"/>
        <v>0</v>
      </c>
      <c r="L170" s="92">
        <f t="shared" si="42"/>
        <v>0</v>
      </c>
      <c r="M170" s="92">
        <f t="shared" si="42"/>
        <v>0</v>
      </c>
      <c r="N170" s="92">
        <f t="shared" si="42"/>
        <v>0</v>
      </c>
      <c r="O170" s="92">
        <f t="shared" si="42"/>
        <v>0</v>
      </c>
      <c r="P170" s="92">
        <f t="shared" si="42"/>
        <v>0</v>
      </c>
      <c r="Q170" s="92">
        <f t="shared" si="42"/>
        <v>0</v>
      </c>
      <c r="R170" s="92"/>
      <c r="S170" s="274"/>
      <c r="T170" s="92"/>
      <c r="U170" s="92"/>
      <c r="V170" s="92"/>
      <c r="W170" s="92"/>
      <c r="X170" s="92"/>
      <c r="Y170" s="92"/>
      <c r="Z170" s="9"/>
      <c r="AA170" s="9"/>
      <c r="AB170" s="9"/>
      <c r="AC170" s="9"/>
      <c r="AD170" s="9"/>
      <c r="AE170" s="9"/>
      <c r="AF170" s="9"/>
      <c r="AG170" s="189"/>
      <c r="AH170" s="189"/>
      <c r="AI170" s="189"/>
      <c r="AJ170" s="189"/>
      <c r="AK170" s="189"/>
      <c r="AL170" s="189"/>
      <c r="AM170" s="189"/>
      <c r="AN170" s="189"/>
      <c r="AO170" s="189"/>
      <c r="AP170" s="189"/>
      <c r="AQ170" s="189"/>
      <c r="AR170" s="189"/>
      <c r="AS170" s="189"/>
      <c r="AT170" s="189"/>
      <c r="AU170" s="189"/>
      <c r="AV170" s="189"/>
      <c r="AW170" s="189"/>
    </row>
    <row r="171" spans="1:49" outlineLevel="1">
      <c r="A171" s="12"/>
      <c r="B171" s="12"/>
      <c r="C171" s="12"/>
      <c r="D171" s="12"/>
      <c r="E171" s="12"/>
      <c r="F171" s="40">
        <f>Asset29</f>
        <v>0</v>
      </c>
      <c r="G171" s="177">
        <f t="shared" ref="G171:Q171" si="43">(G69-G103-G137)/G$178</f>
        <v>0</v>
      </c>
      <c r="H171" s="92">
        <f t="shared" si="43"/>
        <v>0</v>
      </c>
      <c r="I171" s="92">
        <f t="shared" si="43"/>
        <v>0</v>
      </c>
      <c r="J171" s="92">
        <f t="shared" si="43"/>
        <v>0</v>
      </c>
      <c r="K171" s="92">
        <f t="shared" si="43"/>
        <v>0</v>
      </c>
      <c r="L171" s="92">
        <f t="shared" si="43"/>
        <v>0</v>
      </c>
      <c r="M171" s="92">
        <f t="shared" si="43"/>
        <v>0</v>
      </c>
      <c r="N171" s="92">
        <f t="shared" si="43"/>
        <v>0</v>
      </c>
      <c r="O171" s="92">
        <f t="shared" si="43"/>
        <v>0</v>
      </c>
      <c r="P171" s="92">
        <f t="shared" si="43"/>
        <v>0</v>
      </c>
      <c r="Q171" s="92">
        <f t="shared" si="43"/>
        <v>0</v>
      </c>
      <c r="R171" s="92"/>
      <c r="S171" s="92"/>
      <c r="T171" s="92"/>
      <c r="U171" s="92"/>
      <c r="V171" s="92"/>
      <c r="W171" s="92"/>
      <c r="X171" s="92"/>
      <c r="Y171" s="92"/>
      <c r="Z171" s="9"/>
      <c r="AA171" s="9"/>
      <c r="AB171" s="9"/>
      <c r="AC171" s="9"/>
      <c r="AD171" s="9"/>
      <c r="AE171" s="9"/>
      <c r="AF171" s="9"/>
      <c r="AG171" s="189"/>
      <c r="AH171" s="189"/>
      <c r="AI171" s="189"/>
      <c r="AJ171" s="189"/>
      <c r="AK171" s="189"/>
      <c r="AL171" s="189"/>
      <c r="AM171" s="189"/>
      <c r="AN171" s="189"/>
      <c r="AO171" s="189"/>
      <c r="AP171" s="189"/>
      <c r="AQ171" s="189"/>
      <c r="AR171" s="189"/>
      <c r="AS171" s="189"/>
      <c r="AT171" s="189"/>
      <c r="AU171" s="189"/>
      <c r="AV171" s="189"/>
      <c r="AW171" s="189"/>
    </row>
    <row r="172" spans="1:49" outlineLevel="1">
      <c r="A172" s="12"/>
      <c r="B172" s="12"/>
      <c r="C172" s="12"/>
      <c r="D172" s="12"/>
      <c r="E172" s="12"/>
      <c r="F172" s="40">
        <f>Asset30</f>
        <v>0</v>
      </c>
      <c r="G172" s="177">
        <f t="shared" ref="G172:Q172" si="44">(G70-G104-G138)/G$178</f>
        <v>0</v>
      </c>
      <c r="H172" s="92">
        <f t="shared" si="44"/>
        <v>0</v>
      </c>
      <c r="I172" s="92">
        <f t="shared" si="44"/>
        <v>0</v>
      </c>
      <c r="J172" s="92">
        <f t="shared" si="44"/>
        <v>0</v>
      </c>
      <c r="K172" s="92">
        <f t="shared" si="44"/>
        <v>0</v>
      </c>
      <c r="L172" s="92">
        <f t="shared" si="44"/>
        <v>0</v>
      </c>
      <c r="M172" s="92">
        <f t="shared" si="44"/>
        <v>0</v>
      </c>
      <c r="N172" s="92">
        <f t="shared" si="44"/>
        <v>0</v>
      </c>
      <c r="O172" s="92">
        <f t="shared" si="44"/>
        <v>0</v>
      </c>
      <c r="P172" s="92">
        <f t="shared" si="44"/>
        <v>0</v>
      </c>
      <c r="Q172" s="92">
        <f t="shared" si="44"/>
        <v>0</v>
      </c>
      <c r="R172" s="92"/>
      <c r="S172" s="92"/>
      <c r="T172" s="92"/>
      <c r="U172" s="92"/>
      <c r="V172" s="92"/>
      <c r="W172" s="92"/>
      <c r="X172" s="92"/>
      <c r="Y172" s="92"/>
      <c r="Z172" s="9"/>
      <c r="AA172" s="9"/>
      <c r="AB172" s="9"/>
      <c r="AC172" s="9"/>
      <c r="AD172" s="9"/>
      <c r="AE172" s="9"/>
      <c r="AF172" s="9"/>
      <c r="AG172" s="189"/>
      <c r="AH172" s="189"/>
      <c r="AI172" s="189"/>
      <c r="AJ172" s="189"/>
      <c r="AK172" s="189"/>
      <c r="AL172" s="189"/>
      <c r="AM172" s="189"/>
      <c r="AN172" s="189"/>
      <c r="AO172" s="189"/>
      <c r="AP172" s="189"/>
      <c r="AQ172" s="189"/>
      <c r="AR172" s="189"/>
      <c r="AS172" s="189"/>
      <c r="AT172" s="189"/>
      <c r="AU172" s="189"/>
      <c r="AV172" s="189"/>
      <c r="AW172" s="189"/>
    </row>
    <row r="173" spans="1:49">
      <c r="A173" s="12"/>
      <c r="B173" s="12"/>
      <c r="C173" s="12"/>
      <c r="D173" s="12"/>
      <c r="E173" s="12"/>
      <c r="F173" s="40" t="s">
        <v>22</v>
      </c>
      <c r="G173" s="235">
        <f t="shared" ref="G173:Q173" si="45">SUM(G143:G172)</f>
        <v>104.39207518941173</v>
      </c>
      <c r="H173" s="235">
        <f t="shared" si="45"/>
        <v>130.59505699383254</v>
      </c>
      <c r="I173" s="235">
        <f t="shared" si="45"/>
        <v>105.47968313867572</v>
      </c>
      <c r="J173" s="235">
        <f t="shared" si="45"/>
        <v>124.85082782237134</v>
      </c>
      <c r="K173" s="235">
        <f t="shared" si="45"/>
        <v>134.86573180456296</v>
      </c>
      <c r="L173" s="235">
        <f t="shared" si="45"/>
        <v>157.96660658097039</v>
      </c>
      <c r="M173" s="235">
        <f t="shared" si="45"/>
        <v>0</v>
      </c>
      <c r="N173" s="235">
        <f t="shared" si="45"/>
        <v>0</v>
      </c>
      <c r="O173" s="235">
        <f t="shared" si="45"/>
        <v>0</v>
      </c>
      <c r="P173" s="235">
        <f t="shared" si="45"/>
        <v>0</v>
      </c>
      <c r="Q173" s="235">
        <f t="shared" si="45"/>
        <v>0</v>
      </c>
      <c r="R173" s="38"/>
      <c r="S173" s="38"/>
      <c r="T173" s="235"/>
      <c r="U173" s="235"/>
      <c r="V173" s="235"/>
      <c r="W173" s="235"/>
      <c r="X173" s="235"/>
      <c r="Y173" s="235"/>
      <c r="Z173" s="89"/>
      <c r="AA173" s="8"/>
      <c r="AB173" s="8"/>
      <c r="AC173" s="44"/>
      <c r="AD173" s="9"/>
      <c r="AE173" s="9"/>
      <c r="AF173" s="9"/>
      <c r="AG173" s="189"/>
      <c r="AH173" s="189"/>
      <c r="AI173" s="189"/>
      <c r="AJ173" s="189"/>
      <c r="AK173" s="189"/>
      <c r="AL173" s="189"/>
      <c r="AM173" s="189"/>
      <c r="AN173" s="189"/>
      <c r="AO173" s="189"/>
      <c r="AP173" s="189"/>
      <c r="AQ173" s="189"/>
      <c r="AR173" s="189"/>
      <c r="AS173" s="189"/>
      <c r="AT173" s="189"/>
      <c r="AU173" s="189"/>
      <c r="AV173" s="189"/>
      <c r="AW173" s="189"/>
    </row>
    <row r="174" spans="1:49" ht="21" customHeight="1">
      <c r="A174" s="12"/>
      <c r="B174" s="12"/>
      <c r="C174" s="12"/>
      <c r="D174" s="12"/>
      <c r="E174" s="12"/>
      <c r="F174" s="40"/>
      <c r="G174" s="61"/>
      <c r="H174" s="297"/>
      <c r="I174" s="38"/>
      <c r="J174" s="38"/>
      <c r="K174" s="38"/>
      <c r="L174" s="38"/>
      <c r="M174" s="61"/>
      <c r="N174" s="38"/>
      <c r="O174" s="38"/>
      <c r="P174" s="38"/>
      <c r="Q174" s="38"/>
      <c r="R174" s="234">
        <f>SUM(G173:Q173)</f>
        <v>758.14998152982469</v>
      </c>
      <c r="S174" s="234"/>
      <c r="T174" s="234"/>
      <c r="U174" s="38"/>
      <c r="V174" s="38"/>
      <c r="W174" s="38"/>
      <c r="X174" s="38"/>
      <c r="Y174" s="38"/>
      <c r="Z174" s="38"/>
      <c r="AA174" s="8"/>
      <c r="AB174" s="8"/>
      <c r="AC174" s="44"/>
      <c r="AD174" s="9"/>
      <c r="AE174" s="9"/>
      <c r="AF174" s="9"/>
      <c r="AG174" s="189"/>
      <c r="AH174" s="189"/>
      <c r="AI174" s="189"/>
      <c r="AJ174" s="189"/>
      <c r="AK174" s="189"/>
      <c r="AL174" s="189"/>
      <c r="AM174" s="189"/>
      <c r="AN174" s="189"/>
      <c r="AO174" s="189"/>
      <c r="AP174" s="189"/>
      <c r="AQ174" s="189"/>
      <c r="AR174" s="189"/>
      <c r="AS174" s="189"/>
      <c r="AT174" s="189"/>
      <c r="AU174" s="189"/>
      <c r="AV174" s="189"/>
      <c r="AW174" s="189"/>
    </row>
    <row r="175" spans="1:49"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80"/>
      <c r="Y175" s="80"/>
      <c r="Z175" s="9"/>
      <c r="AA175" s="9"/>
      <c r="AB175" s="9"/>
      <c r="AC175" s="45"/>
      <c r="AD175" s="9"/>
      <c r="AE175" s="9"/>
      <c r="AF175" s="9"/>
      <c r="AG175" s="189"/>
      <c r="AH175" s="189"/>
      <c r="AI175" s="189"/>
      <c r="AJ175" s="189"/>
      <c r="AK175" s="189"/>
      <c r="AL175" s="189"/>
      <c r="AM175" s="189"/>
      <c r="AN175" s="189"/>
      <c r="AO175" s="189"/>
      <c r="AP175" s="189"/>
      <c r="AQ175" s="189"/>
      <c r="AR175" s="189"/>
      <c r="AS175" s="189"/>
      <c r="AT175" s="189"/>
      <c r="AU175" s="189"/>
      <c r="AV175" s="189"/>
      <c r="AW175" s="189"/>
    </row>
    <row r="176" spans="1:49" ht="14.25" customHeight="1">
      <c r="A176" s="12"/>
      <c r="B176" s="12"/>
      <c r="C176" s="12"/>
      <c r="D176" s="12"/>
      <c r="E176" s="12"/>
      <c r="F176" s="15"/>
      <c r="G176" s="146">
        <f>G40</f>
        <v>2010</v>
      </c>
      <c r="H176" s="146">
        <f t="shared" ref="H176:Q176" si="46">H40</f>
        <v>2011</v>
      </c>
      <c r="I176" s="146">
        <f t="shared" si="46"/>
        <v>2012</v>
      </c>
      <c r="J176" s="146">
        <f t="shared" si="46"/>
        <v>2013</v>
      </c>
      <c r="K176" s="146">
        <f t="shared" si="46"/>
        <v>2014</v>
      </c>
      <c r="L176" s="146">
        <f t="shared" si="46"/>
        <v>2015</v>
      </c>
      <c r="M176" s="146">
        <f t="shared" si="46"/>
        <v>2016</v>
      </c>
      <c r="N176" s="146">
        <f t="shared" si="46"/>
        <v>2017</v>
      </c>
      <c r="O176" s="146">
        <f t="shared" si="46"/>
        <v>2018</v>
      </c>
      <c r="P176" s="146">
        <f t="shared" si="46"/>
        <v>2019</v>
      </c>
      <c r="Q176" s="146">
        <f t="shared" si="46"/>
        <v>2020</v>
      </c>
      <c r="R176" s="13"/>
      <c r="S176" s="13"/>
      <c r="T176" s="13"/>
      <c r="U176" s="13"/>
      <c r="V176" s="13"/>
      <c r="W176" s="13"/>
      <c r="X176" s="13"/>
      <c r="Y176" s="13"/>
      <c r="Z176" s="9"/>
      <c r="AA176" s="9"/>
      <c r="AB176" s="9"/>
      <c r="AC176" s="9"/>
      <c r="AD176" s="9"/>
      <c r="AE176" s="9"/>
      <c r="AF176" s="9"/>
      <c r="AG176" s="189"/>
      <c r="AH176" s="189"/>
      <c r="AI176" s="189"/>
      <c r="AJ176" s="189"/>
      <c r="AK176" s="189"/>
      <c r="AL176" s="189"/>
      <c r="AM176" s="189"/>
      <c r="AN176" s="189"/>
      <c r="AO176" s="189"/>
      <c r="AP176" s="189"/>
      <c r="AQ176" s="189"/>
      <c r="AR176" s="189"/>
      <c r="AS176" s="189"/>
      <c r="AT176" s="189"/>
      <c r="AU176" s="189"/>
      <c r="AV176" s="189"/>
      <c r="AW176" s="189"/>
    </row>
    <row r="177" spans="1:49" ht="12.75" customHeight="1">
      <c r="A177" s="12"/>
      <c r="B177" s="12"/>
      <c r="C177" s="12"/>
      <c r="D177" s="12"/>
      <c r="E177" s="12"/>
      <c r="F177" s="96" t="s">
        <v>37</v>
      </c>
      <c r="G177" s="523">
        <v>1.2612612612612484E-2</v>
      </c>
      <c r="H177" s="524">
        <v>2.7876631079478242E-2</v>
      </c>
      <c r="I177" s="525">
        <v>3.5199076745527913E-2</v>
      </c>
      <c r="J177" s="525">
        <v>2.0040080160320661E-2</v>
      </c>
      <c r="K177" s="525">
        <v>2.16110019646365E-2</v>
      </c>
      <c r="L177" s="525">
        <v>2.3076923076923217E-2</v>
      </c>
      <c r="M177" s="108"/>
      <c r="N177" s="108"/>
      <c r="O177" s="108"/>
      <c r="P177" s="108"/>
      <c r="Q177" s="108"/>
      <c r="R177" s="14"/>
      <c r="S177" s="14"/>
      <c r="T177" s="14"/>
      <c r="U177" s="14"/>
      <c r="V177" s="14"/>
      <c r="W177" s="14"/>
      <c r="X177" s="14"/>
      <c r="Y177" s="14"/>
      <c r="Z177" s="14"/>
      <c r="AA177" s="14"/>
      <c r="AB177" s="8"/>
      <c r="AC177" s="9"/>
      <c r="AD177" s="9"/>
      <c r="AE177" s="9"/>
      <c r="AF177" s="9"/>
      <c r="AG177" s="189"/>
      <c r="AH177" s="189"/>
      <c r="AI177" s="189"/>
      <c r="AJ177" s="189"/>
      <c r="AK177" s="189"/>
      <c r="AL177" s="189"/>
      <c r="AM177" s="189"/>
      <c r="AN177" s="189"/>
      <c r="AO177" s="189"/>
      <c r="AP177" s="189"/>
      <c r="AQ177" s="189"/>
      <c r="AR177" s="189"/>
      <c r="AS177" s="189"/>
      <c r="AT177" s="189"/>
      <c r="AU177" s="189"/>
      <c r="AV177" s="189"/>
      <c r="AW177" s="189"/>
    </row>
    <row r="178" spans="1:49" ht="13.5" customHeight="1">
      <c r="A178" s="12"/>
      <c r="B178" s="12"/>
      <c r="C178" s="12"/>
      <c r="D178" s="12"/>
      <c r="E178" s="12"/>
      <c r="F178" s="96" t="s">
        <v>76</v>
      </c>
      <c r="G178" s="232">
        <v>1</v>
      </c>
      <c r="H178" s="526">
        <f>G178*(1+H177)</f>
        <v>1.0278766310794782</v>
      </c>
      <c r="I178" s="526">
        <f t="shared" ref="I178:Q178" si="47">H178*(1+I177)</f>
        <v>1.0640569395017794</v>
      </c>
      <c r="J178" s="526">
        <f t="shared" si="47"/>
        <v>1.0853807258645405</v>
      </c>
      <c r="K178" s="526">
        <f t="shared" si="47"/>
        <v>1.1088368908635777</v>
      </c>
      <c r="L178" s="526">
        <f t="shared" si="47"/>
        <v>1.1344254344988911</v>
      </c>
      <c r="M178" s="526">
        <f t="shared" si="47"/>
        <v>1.1344254344988911</v>
      </c>
      <c r="N178" s="526">
        <f t="shared" si="47"/>
        <v>1.1344254344988911</v>
      </c>
      <c r="O178" s="526">
        <f t="shared" si="47"/>
        <v>1.1344254344988911</v>
      </c>
      <c r="P178" s="526">
        <f t="shared" si="47"/>
        <v>1.1344254344988911</v>
      </c>
      <c r="Q178" s="526">
        <f t="shared" si="47"/>
        <v>1.1344254344988911</v>
      </c>
      <c r="R178" s="14"/>
      <c r="S178" s="14"/>
      <c r="T178" s="14"/>
      <c r="U178" s="14"/>
      <c r="V178" s="14"/>
      <c r="W178" s="14"/>
      <c r="X178" s="14"/>
      <c r="Y178" s="14"/>
      <c r="Z178" s="14"/>
      <c r="AA178" s="14"/>
      <c r="AB178" s="8"/>
      <c r="AC178" s="9"/>
      <c r="AD178" s="9"/>
      <c r="AE178" s="9"/>
      <c r="AF178" s="9"/>
      <c r="AG178" s="189"/>
      <c r="AH178" s="189"/>
      <c r="AI178" s="189"/>
      <c r="AJ178" s="189"/>
      <c r="AK178" s="189"/>
      <c r="AL178" s="189"/>
      <c r="AM178" s="189"/>
      <c r="AN178" s="189"/>
      <c r="AO178" s="189"/>
      <c r="AP178" s="189"/>
      <c r="AQ178" s="189"/>
      <c r="AR178" s="189"/>
      <c r="AS178" s="189"/>
      <c r="AT178" s="189"/>
      <c r="AU178" s="189"/>
      <c r="AV178" s="189"/>
      <c r="AW178" s="189"/>
    </row>
    <row r="179" spans="1:49" ht="13.5" customHeight="1">
      <c r="A179" s="12"/>
      <c r="B179" s="12"/>
      <c r="C179" s="12"/>
      <c r="D179" s="12"/>
      <c r="E179" s="12"/>
      <c r="F179" s="96" t="s">
        <v>40</v>
      </c>
      <c r="G179" s="170">
        <v>2.5600000000000001E-2</v>
      </c>
      <c r="H179" s="322">
        <v>2.5748753401775293E-2</v>
      </c>
      <c r="I179" s="50">
        <f>H179</f>
        <v>2.5748753401775293E-2</v>
      </c>
      <c r="J179" s="50">
        <f t="shared" ref="J179:Q179" si="48">I179</f>
        <v>2.5748753401775293E-2</v>
      </c>
      <c r="K179" s="50">
        <f t="shared" si="48"/>
        <v>2.5748753401775293E-2</v>
      </c>
      <c r="L179" s="50">
        <f t="shared" si="48"/>
        <v>2.5748753401775293E-2</v>
      </c>
      <c r="M179" s="50">
        <f t="shared" si="48"/>
        <v>2.5748753401775293E-2</v>
      </c>
      <c r="N179" s="50">
        <f t="shared" si="48"/>
        <v>2.5748753401775293E-2</v>
      </c>
      <c r="O179" s="50">
        <f t="shared" si="48"/>
        <v>2.5748753401775293E-2</v>
      </c>
      <c r="P179" s="50">
        <f t="shared" si="48"/>
        <v>2.5748753401775293E-2</v>
      </c>
      <c r="Q179" s="50">
        <f t="shared" si="48"/>
        <v>2.5748753401775293E-2</v>
      </c>
      <c r="R179" s="14"/>
      <c r="S179" s="14"/>
      <c r="T179" s="14"/>
      <c r="U179" s="14"/>
      <c r="V179" s="14"/>
      <c r="W179" s="14"/>
      <c r="X179" s="14"/>
      <c r="Y179" s="14"/>
      <c r="Z179" s="14"/>
      <c r="AA179" s="14"/>
      <c r="AB179" s="8"/>
      <c r="AC179" s="9"/>
      <c r="AD179" s="9"/>
      <c r="AE179" s="9"/>
      <c r="AF179" s="9"/>
      <c r="AG179" s="189"/>
      <c r="AH179" s="189"/>
      <c r="AI179" s="189"/>
      <c r="AJ179" s="189"/>
      <c r="AK179" s="189"/>
      <c r="AL179" s="189"/>
      <c r="AM179" s="189"/>
      <c r="AN179" s="189"/>
      <c r="AO179" s="189"/>
      <c r="AP179" s="189"/>
      <c r="AQ179" s="189"/>
      <c r="AR179" s="189"/>
      <c r="AS179" s="189"/>
      <c r="AT179" s="189"/>
      <c r="AU179" s="189"/>
      <c r="AV179" s="189"/>
      <c r="AW179" s="189"/>
    </row>
    <row r="180" spans="1:49" ht="12.75" customHeight="1">
      <c r="A180" s="12"/>
      <c r="B180" s="12"/>
      <c r="C180" s="12"/>
      <c r="D180" s="12"/>
      <c r="E180" s="12"/>
      <c r="F180" s="96" t="s">
        <v>39</v>
      </c>
      <c r="G180" s="232">
        <v>1</v>
      </c>
      <c r="H180" s="93">
        <f>G180*(1+H179)</f>
        <v>1.0257487534017753</v>
      </c>
      <c r="I180" s="93">
        <f t="shared" ref="I180:Q180" si="49">H180*(1+I179)</f>
        <v>1.052160505105296</v>
      </c>
      <c r="J180" s="93">
        <f t="shared" si="49"/>
        <v>1.0792523264903395</v>
      </c>
      <c r="K180" s="93">
        <f t="shared" si="49"/>
        <v>1.1070417285034315</v>
      </c>
      <c r="L180" s="93">
        <f t="shared" si="49"/>
        <v>1.1355466729761414</v>
      </c>
      <c r="M180" s="93">
        <f t="shared" si="49"/>
        <v>1.1647855842348105</v>
      </c>
      <c r="N180" s="93">
        <f t="shared" si="49"/>
        <v>1.1947773610092154</v>
      </c>
      <c r="O180" s="93">
        <f t="shared" si="49"/>
        <v>1.2255413886478654</v>
      </c>
      <c r="P180" s="93">
        <f t="shared" si="49"/>
        <v>1.2570975516478287</v>
      </c>
      <c r="Q180" s="93">
        <f t="shared" si="49"/>
        <v>1.289466246507184</v>
      </c>
      <c r="R180" s="14"/>
      <c r="S180" s="14"/>
      <c r="T180" s="14"/>
      <c r="U180" s="14"/>
      <c r="V180" s="14"/>
      <c r="W180" s="14"/>
      <c r="X180" s="14"/>
      <c r="Y180" s="14"/>
      <c r="Z180" s="14"/>
      <c r="AA180" s="14"/>
      <c r="AB180" s="8"/>
      <c r="AC180" s="9"/>
      <c r="AD180" s="9"/>
      <c r="AE180" s="9"/>
      <c r="AF180" s="9"/>
      <c r="AG180" s="189"/>
      <c r="AH180" s="189"/>
      <c r="AI180" s="189"/>
      <c r="AJ180" s="189"/>
      <c r="AK180" s="189"/>
      <c r="AL180" s="189"/>
      <c r="AM180" s="189"/>
      <c r="AN180" s="189"/>
      <c r="AO180" s="189"/>
      <c r="AP180" s="189"/>
      <c r="AQ180" s="189"/>
      <c r="AR180" s="189"/>
      <c r="AS180" s="189"/>
      <c r="AT180" s="189"/>
      <c r="AU180" s="189"/>
      <c r="AV180" s="189"/>
      <c r="AW180" s="189"/>
    </row>
    <row r="181" spans="1:49"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14"/>
      <c r="AA181" s="14"/>
      <c r="AB181" s="8"/>
      <c r="AC181" s="9"/>
      <c r="AD181" s="9"/>
      <c r="AE181" s="9"/>
      <c r="AF181" s="9"/>
      <c r="AG181" s="189"/>
      <c r="AH181" s="189"/>
      <c r="AI181" s="189"/>
      <c r="AJ181" s="189"/>
      <c r="AK181" s="189"/>
      <c r="AL181" s="189"/>
      <c r="AM181" s="189"/>
      <c r="AN181" s="189"/>
      <c r="AO181" s="189"/>
      <c r="AP181" s="189"/>
      <c r="AQ181" s="189"/>
      <c r="AR181" s="189"/>
      <c r="AS181" s="189"/>
      <c r="AT181" s="189"/>
      <c r="AU181" s="189"/>
      <c r="AV181" s="189"/>
      <c r="AW181" s="189"/>
    </row>
    <row r="182" spans="1:49" ht="14.25" customHeight="1">
      <c r="A182" s="12"/>
      <c r="B182" s="12"/>
      <c r="C182" s="12"/>
      <c r="D182" s="12"/>
      <c r="E182" s="12"/>
      <c r="F182" s="97" t="s">
        <v>88</v>
      </c>
      <c r="G182" s="320">
        <f>(1+5.9%)*(1+G179)-1</f>
        <v>8.611039999999992E-2</v>
      </c>
      <c r="H182" s="321">
        <v>9.4897728819182986E-2</v>
      </c>
      <c r="I182" s="95">
        <f>H182</f>
        <v>9.4897728819182986E-2</v>
      </c>
      <c r="J182" s="95">
        <f t="shared" ref="J182:Q182" si="50">I182</f>
        <v>9.4897728819182986E-2</v>
      </c>
      <c r="K182" s="95">
        <f t="shared" si="50"/>
        <v>9.4897728819182986E-2</v>
      </c>
      <c r="L182" s="95">
        <f t="shared" si="50"/>
        <v>9.4897728819182986E-2</v>
      </c>
      <c r="M182" s="95">
        <f t="shared" si="50"/>
        <v>9.4897728819182986E-2</v>
      </c>
      <c r="N182" s="95">
        <f t="shared" si="50"/>
        <v>9.4897728819182986E-2</v>
      </c>
      <c r="O182" s="95">
        <f t="shared" si="50"/>
        <v>9.4897728819182986E-2</v>
      </c>
      <c r="P182" s="95">
        <f t="shared" si="50"/>
        <v>9.4897728819182986E-2</v>
      </c>
      <c r="Q182" s="95">
        <f t="shared" si="50"/>
        <v>9.4897728819182986E-2</v>
      </c>
      <c r="R182" s="14"/>
      <c r="S182" s="14"/>
      <c r="T182" s="14"/>
      <c r="U182" s="14"/>
      <c r="V182" s="14"/>
      <c r="W182" s="14"/>
      <c r="X182" s="14"/>
      <c r="Y182" s="14"/>
      <c r="Z182" s="14"/>
      <c r="AA182" s="14"/>
      <c r="AB182" s="8"/>
      <c r="AC182" s="9"/>
      <c r="AD182" s="9"/>
      <c r="AE182" s="9"/>
      <c r="AF182" s="9"/>
      <c r="AG182" s="189"/>
      <c r="AH182" s="189"/>
      <c r="AI182" s="189"/>
      <c r="AJ182" s="189"/>
      <c r="AK182" s="189"/>
      <c r="AL182" s="189"/>
      <c r="AM182" s="189"/>
      <c r="AN182" s="189"/>
      <c r="AO182" s="189"/>
      <c r="AP182" s="189"/>
      <c r="AQ182" s="189"/>
      <c r="AR182" s="189"/>
      <c r="AS182" s="189"/>
      <c r="AT182" s="189"/>
      <c r="AU182" s="189"/>
      <c r="AV182" s="189"/>
      <c r="AW182" s="189"/>
    </row>
    <row r="183" spans="1:49">
      <c r="A183" s="12"/>
      <c r="B183" s="12"/>
      <c r="C183" s="12"/>
      <c r="D183" s="12"/>
      <c r="E183" s="12"/>
      <c r="F183" s="96" t="s">
        <v>89</v>
      </c>
      <c r="G183" s="191">
        <f>(1+G182)/(1+G179)-1</f>
        <v>5.8999999999999941E-2</v>
      </c>
      <c r="H183" s="41">
        <f>(1+H182)/(1+H179)-1</f>
        <v>6.7413170318836091E-2</v>
      </c>
      <c r="I183" s="41">
        <f>H183</f>
        <v>6.7413170318836091E-2</v>
      </c>
      <c r="J183" s="41">
        <f t="shared" ref="J183:Q183" si="51">I183</f>
        <v>6.7413170318836091E-2</v>
      </c>
      <c r="K183" s="41">
        <f t="shared" si="51"/>
        <v>6.7413170318836091E-2</v>
      </c>
      <c r="L183" s="41">
        <f t="shared" si="51"/>
        <v>6.7413170318836091E-2</v>
      </c>
      <c r="M183" s="41">
        <f>L183</f>
        <v>6.7413170318836091E-2</v>
      </c>
      <c r="N183" s="41">
        <f t="shared" si="51"/>
        <v>6.7413170318836091E-2</v>
      </c>
      <c r="O183" s="41">
        <f t="shared" si="51"/>
        <v>6.7413170318836091E-2</v>
      </c>
      <c r="P183" s="41">
        <f t="shared" si="51"/>
        <v>6.7413170318836091E-2</v>
      </c>
      <c r="Q183" s="41">
        <f t="shared" si="51"/>
        <v>6.7413170318836091E-2</v>
      </c>
      <c r="R183" s="9"/>
      <c r="S183" s="9"/>
      <c r="T183" s="9"/>
      <c r="U183" s="9"/>
      <c r="V183" s="9"/>
      <c r="W183" s="9"/>
      <c r="X183" s="9"/>
      <c r="Y183" s="9"/>
      <c r="Z183" s="9"/>
      <c r="AA183" s="9"/>
      <c r="AB183" s="19"/>
      <c r="AC183" s="9"/>
      <c r="AD183" s="9"/>
      <c r="AE183" s="9"/>
      <c r="AF183" s="9"/>
      <c r="AG183" s="189"/>
      <c r="AH183" s="189"/>
      <c r="AI183" s="189"/>
      <c r="AJ183" s="189"/>
      <c r="AK183" s="189"/>
      <c r="AL183" s="189"/>
      <c r="AM183" s="189"/>
      <c r="AN183" s="189"/>
      <c r="AO183" s="189"/>
      <c r="AP183" s="189"/>
      <c r="AQ183" s="189"/>
      <c r="AR183" s="189"/>
      <c r="AS183" s="189"/>
      <c r="AT183" s="189"/>
      <c r="AU183" s="189"/>
      <c r="AV183" s="189"/>
      <c r="AW183" s="189"/>
    </row>
    <row r="184" spans="1:49" ht="24" customHeight="1">
      <c r="A184" s="12"/>
      <c r="B184" s="12"/>
      <c r="C184" s="12"/>
      <c r="D184" s="12"/>
      <c r="E184" s="12"/>
      <c r="F184" s="161" t="s">
        <v>90</v>
      </c>
      <c r="G184" s="41">
        <v>0</v>
      </c>
      <c r="H184" s="41">
        <f t="shared" ref="H184:L184" si="52">(1+H183)*(1+H177)-1</f>
        <v>9.7169053477190515E-2</v>
      </c>
      <c r="I184" s="41">
        <f t="shared" si="52"/>
        <v>0.10498512842007601</v>
      </c>
      <c r="J184" s="41">
        <f t="shared" si="52"/>
        <v>8.8804215816207677E-2</v>
      </c>
      <c r="K184" s="41">
        <f t="shared" si="52"/>
        <v>9.0481038439675254E-2</v>
      </c>
      <c r="L184" s="41">
        <f t="shared" si="52"/>
        <v>9.2045781941578531E-2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9"/>
      <c r="AA184" s="9"/>
      <c r="AB184" s="19"/>
      <c r="AC184" s="9"/>
      <c r="AD184" s="9"/>
      <c r="AE184" s="9"/>
      <c r="AF184" s="9"/>
      <c r="AG184" s="189"/>
      <c r="AH184" s="189"/>
      <c r="AI184" s="189"/>
      <c r="AJ184" s="189"/>
      <c r="AK184" s="189"/>
      <c r="AL184" s="189"/>
      <c r="AM184" s="189"/>
      <c r="AN184" s="189"/>
      <c r="AO184" s="189"/>
      <c r="AP184" s="189"/>
      <c r="AQ184" s="189"/>
      <c r="AR184" s="189"/>
      <c r="AS184" s="189"/>
      <c r="AT184" s="189"/>
      <c r="AU184" s="189"/>
      <c r="AV184" s="189"/>
      <c r="AW184" s="189"/>
    </row>
    <row r="185" spans="1:49">
      <c r="A185" s="12"/>
      <c r="B185" s="12"/>
      <c r="C185" s="12"/>
      <c r="D185" s="12"/>
      <c r="E185" s="12"/>
      <c r="F185" s="96"/>
      <c r="G185" s="96"/>
      <c r="H185" s="145"/>
      <c r="I185" s="145"/>
      <c r="J185" s="145"/>
      <c r="K185" s="145"/>
      <c r="L185" s="145"/>
      <c r="M185" s="145"/>
      <c r="N185" s="12"/>
      <c r="O185" s="12"/>
      <c r="P185" s="12"/>
      <c r="Q185" s="12"/>
      <c r="R185" s="12"/>
      <c r="S185" s="12"/>
      <c r="T185" s="12"/>
      <c r="U185" s="12"/>
      <c r="V185" s="12"/>
      <c r="W185" s="12"/>
      <c r="X185" s="9"/>
      <c r="Y185" s="9"/>
      <c r="Z185" s="9"/>
      <c r="AA185" s="9"/>
      <c r="AB185" s="9"/>
      <c r="AC185" s="19"/>
      <c r="AD185" s="9"/>
      <c r="AE185" s="9"/>
      <c r="AF185" s="9"/>
      <c r="AG185" s="189"/>
      <c r="AH185" s="189"/>
      <c r="AI185" s="189"/>
      <c r="AJ185" s="189"/>
      <c r="AK185" s="189"/>
      <c r="AL185" s="189"/>
      <c r="AM185" s="189"/>
      <c r="AN185" s="189"/>
      <c r="AO185" s="189"/>
      <c r="AP185" s="189"/>
      <c r="AQ185" s="189"/>
      <c r="AR185" s="189"/>
      <c r="AS185" s="189"/>
      <c r="AT185" s="189"/>
      <c r="AU185" s="189"/>
      <c r="AV185" s="189"/>
      <c r="AW185" s="189"/>
    </row>
    <row r="186" spans="1:49" s="9" customFormat="1" ht="22.5" customHeight="1">
      <c r="A186" s="12"/>
      <c r="B186" s="12"/>
      <c r="C186" s="12"/>
      <c r="D186" s="12"/>
      <c r="E186" s="12"/>
      <c r="H186" s="522"/>
      <c r="I186" s="20"/>
      <c r="J186" s="21"/>
      <c r="K186" s="21"/>
      <c r="L186" s="21"/>
      <c r="M186" s="21"/>
      <c r="AC186" s="19"/>
      <c r="AG186" s="189"/>
      <c r="AH186" s="189"/>
      <c r="AI186" s="189"/>
      <c r="AJ186" s="189"/>
      <c r="AK186" s="189"/>
      <c r="AL186" s="189"/>
      <c r="AM186" s="189"/>
      <c r="AN186" s="189"/>
      <c r="AO186" s="189"/>
      <c r="AP186" s="189"/>
      <c r="AQ186" s="189"/>
      <c r="AR186" s="189"/>
      <c r="AS186" s="189"/>
      <c r="AT186" s="189"/>
      <c r="AU186" s="189"/>
      <c r="AV186" s="189"/>
      <c r="AW186" s="189"/>
    </row>
    <row r="187" spans="1:49">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9"/>
      <c r="AB187" s="9"/>
      <c r="AC187" s="19"/>
      <c r="AD187" s="9"/>
      <c r="AE187" s="9"/>
      <c r="AF187" s="9"/>
      <c r="AG187" s="189"/>
      <c r="AH187" s="189"/>
      <c r="AI187" s="189"/>
      <c r="AJ187" s="189"/>
      <c r="AK187" s="189"/>
      <c r="AL187" s="189"/>
      <c r="AM187" s="189"/>
      <c r="AN187" s="189"/>
      <c r="AO187" s="189"/>
      <c r="AP187" s="189"/>
      <c r="AQ187" s="189"/>
      <c r="AR187" s="189"/>
      <c r="AS187" s="189"/>
      <c r="AT187" s="189"/>
      <c r="AU187" s="189"/>
      <c r="AV187" s="189"/>
      <c r="AW187" s="189"/>
    </row>
    <row r="188" spans="1:49">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9"/>
      <c r="AB188" s="9"/>
      <c r="AC188" s="19"/>
      <c r="AD188" s="9"/>
      <c r="AE188" s="9"/>
      <c r="AF188" s="9"/>
      <c r="AG188" s="189"/>
      <c r="AH188" s="189"/>
      <c r="AI188" s="189"/>
      <c r="AJ188" s="189"/>
      <c r="AK188" s="189"/>
      <c r="AL188" s="189"/>
      <c r="AM188" s="189"/>
      <c r="AN188" s="189"/>
      <c r="AO188" s="189"/>
      <c r="AP188" s="189"/>
      <c r="AQ188" s="189"/>
      <c r="AR188" s="189"/>
      <c r="AS188" s="189"/>
      <c r="AT188" s="189"/>
      <c r="AU188" s="189"/>
      <c r="AV188" s="189"/>
      <c r="AW188" s="189"/>
    </row>
    <row r="189" spans="1:49">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9"/>
      <c r="AB189" s="9"/>
      <c r="AC189" s="19"/>
      <c r="AD189" s="9"/>
      <c r="AE189" s="9"/>
      <c r="AF189" s="9"/>
      <c r="AG189" s="189"/>
      <c r="AH189" s="189"/>
      <c r="AI189" s="189"/>
      <c r="AJ189" s="189"/>
      <c r="AK189" s="189"/>
      <c r="AL189" s="189"/>
      <c r="AM189" s="189"/>
      <c r="AN189" s="189"/>
      <c r="AO189" s="189"/>
      <c r="AP189" s="189"/>
      <c r="AQ189" s="189"/>
      <c r="AR189" s="189"/>
      <c r="AS189" s="189"/>
      <c r="AT189" s="189"/>
      <c r="AU189" s="189"/>
      <c r="AV189" s="189"/>
      <c r="AW189" s="189"/>
    </row>
    <row r="190" spans="1:49">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9"/>
      <c r="AB190" s="9"/>
      <c r="AC190" s="19"/>
      <c r="AD190" s="9"/>
      <c r="AE190" s="9"/>
      <c r="AF190" s="9"/>
      <c r="AG190" s="189"/>
      <c r="AH190" s="189"/>
      <c r="AI190" s="189"/>
      <c r="AJ190" s="189"/>
      <c r="AK190" s="189"/>
      <c r="AL190" s="189"/>
      <c r="AM190" s="189"/>
      <c r="AN190" s="189"/>
      <c r="AO190" s="189"/>
      <c r="AP190" s="189"/>
      <c r="AQ190" s="189"/>
      <c r="AR190" s="189"/>
      <c r="AS190" s="189"/>
      <c r="AT190" s="189"/>
      <c r="AU190" s="189"/>
      <c r="AV190" s="189"/>
      <c r="AW190" s="189"/>
    </row>
    <row r="191" spans="1:49">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9"/>
      <c r="AB191" s="9"/>
      <c r="AC191" s="19"/>
      <c r="AD191" s="9"/>
      <c r="AE191" s="9"/>
      <c r="AF191" s="9"/>
      <c r="AG191" s="189"/>
      <c r="AH191" s="189"/>
      <c r="AI191" s="189"/>
      <c r="AJ191" s="189"/>
      <c r="AK191" s="189"/>
      <c r="AL191" s="189"/>
      <c r="AM191" s="189"/>
      <c r="AN191" s="189"/>
      <c r="AO191" s="189"/>
      <c r="AP191" s="189"/>
      <c r="AQ191" s="189"/>
      <c r="AR191" s="189"/>
      <c r="AS191" s="189"/>
      <c r="AT191" s="189"/>
      <c r="AU191" s="189"/>
      <c r="AV191" s="189"/>
      <c r="AW191" s="189"/>
    </row>
    <row r="192" spans="1:49">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9"/>
      <c r="AB192" s="9"/>
      <c r="AC192" s="19"/>
      <c r="AD192" s="9"/>
      <c r="AE192" s="9"/>
      <c r="AF192" s="9"/>
      <c r="AG192" s="189"/>
      <c r="AH192" s="189"/>
      <c r="AI192" s="189"/>
      <c r="AJ192" s="189"/>
      <c r="AK192" s="189"/>
      <c r="AL192" s="189"/>
      <c r="AM192" s="189"/>
      <c r="AN192" s="189"/>
      <c r="AO192" s="189"/>
      <c r="AP192" s="189"/>
      <c r="AQ192" s="189"/>
      <c r="AR192" s="189"/>
      <c r="AS192" s="189"/>
      <c r="AT192" s="189"/>
      <c r="AU192" s="189"/>
      <c r="AV192" s="189"/>
      <c r="AW192" s="189"/>
    </row>
    <row r="193" spans="1:49">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9"/>
      <c r="AB193" s="9"/>
      <c r="AC193" s="19"/>
      <c r="AD193" s="9"/>
      <c r="AE193" s="9"/>
      <c r="AF193" s="9"/>
      <c r="AG193" s="189"/>
      <c r="AH193" s="189"/>
      <c r="AI193" s="189"/>
      <c r="AJ193" s="189"/>
      <c r="AK193" s="189"/>
      <c r="AL193" s="189"/>
      <c r="AM193" s="189"/>
      <c r="AN193" s="189"/>
      <c r="AO193" s="189"/>
      <c r="AP193" s="189"/>
      <c r="AQ193" s="189"/>
      <c r="AR193" s="189"/>
      <c r="AS193" s="189"/>
      <c r="AT193" s="189"/>
      <c r="AU193" s="189"/>
      <c r="AV193" s="189"/>
      <c r="AW193" s="189"/>
    </row>
    <row r="194" spans="1:49">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9"/>
      <c r="AB194" s="9"/>
      <c r="AC194" s="19"/>
      <c r="AD194" s="9"/>
      <c r="AE194" s="9"/>
      <c r="AF194" s="9"/>
      <c r="AG194" s="189"/>
      <c r="AH194" s="189"/>
      <c r="AI194" s="189"/>
      <c r="AJ194" s="189"/>
      <c r="AK194" s="189"/>
      <c r="AL194" s="189"/>
      <c r="AM194" s="189"/>
      <c r="AN194" s="189"/>
      <c r="AO194" s="189"/>
      <c r="AP194" s="189"/>
      <c r="AQ194" s="189"/>
      <c r="AR194" s="189"/>
      <c r="AS194" s="189"/>
      <c r="AT194" s="189"/>
      <c r="AU194" s="189"/>
      <c r="AV194" s="189"/>
      <c r="AW194" s="189"/>
    </row>
    <row r="195" spans="1:49">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9"/>
      <c r="AB195" s="9"/>
      <c r="AC195" s="19"/>
      <c r="AD195" s="9"/>
      <c r="AE195" s="9"/>
      <c r="AF195" s="9"/>
      <c r="AG195" s="189"/>
      <c r="AH195" s="189"/>
      <c r="AI195" s="189"/>
      <c r="AJ195" s="189"/>
      <c r="AK195" s="189"/>
      <c r="AL195" s="189"/>
      <c r="AM195" s="189"/>
      <c r="AN195" s="189"/>
      <c r="AO195" s="189"/>
      <c r="AP195" s="189"/>
      <c r="AQ195" s="189"/>
      <c r="AR195" s="189"/>
      <c r="AS195" s="189"/>
      <c r="AT195" s="189"/>
      <c r="AU195" s="189"/>
      <c r="AV195" s="189"/>
      <c r="AW195" s="189"/>
    </row>
    <row r="196" spans="1:49">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9"/>
      <c r="AB196" s="9"/>
      <c r="AC196" s="19"/>
      <c r="AD196" s="9"/>
      <c r="AE196" s="9"/>
      <c r="AF196" s="9"/>
      <c r="AG196" s="189"/>
      <c r="AH196" s="189"/>
      <c r="AI196" s="189"/>
      <c r="AJ196" s="189"/>
      <c r="AK196" s="189"/>
      <c r="AL196" s="189"/>
      <c r="AM196" s="189"/>
      <c r="AN196" s="189"/>
      <c r="AO196" s="189"/>
      <c r="AP196" s="189"/>
      <c r="AQ196" s="189"/>
      <c r="AR196" s="189"/>
      <c r="AS196" s="189"/>
      <c r="AT196" s="189"/>
      <c r="AU196" s="189"/>
      <c r="AV196" s="189"/>
      <c r="AW196" s="189"/>
    </row>
    <row r="197" spans="1:49">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9"/>
      <c r="AB197" s="9"/>
      <c r="AC197" s="19"/>
      <c r="AD197" s="9"/>
      <c r="AE197" s="9"/>
      <c r="AF197" s="9"/>
      <c r="AG197" s="189"/>
      <c r="AH197" s="189"/>
      <c r="AI197" s="189"/>
      <c r="AJ197" s="189"/>
      <c r="AK197" s="189"/>
      <c r="AL197" s="189"/>
      <c r="AM197" s="189"/>
      <c r="AN197" s="189"/>
      <c r="AO197" s="189"/>
      <c r="AP197" s="189"/>
      <c r="AQ197" s="189"/>
      <c r="AR197" s="189"/>
      <c r="AS197" s="189"/>
      <c r="AT197" s="189"/>
      <c r="AU197" s="189"/>
      <c r="AV197" s="189"/>
      <c r="AW197" s="189"/>
    </row>
    <row r="198" spans="1:49">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9"/>
      <c r="AB198" s="9"/>
      <c r="AC198" s="19"/>
      <c r="AD198" s="9"/>
      <c r="AE198" s="9"/>
      <c r="AF198" s="9"/>
      <c r="AG198" s="189"/>
      <c r="AH198" s="189"/>
      <c r="AI198" s="189"/>
      <c r="AJ198" s="189"/>
      <c r="AK198" s="189"/>
      <c r="AL198" s="189"/>
      <c r="AM198" s="189"/>
      <c r="AN198" s="189"/>
      <c r="AO198" s="189"/>
      <c r="AP198" s="189"/>
      <c r="AQ198" s="189"/>
      <c r="AR198" s="189"/>
      <c r="AS198" s="189"/>
      <c r="AT198" s="189"/>
      <c r="AU198" s="189"/>
      <c r="AV198" s="189"/>
      <c r="AW198" s="189"/>
    </row>
    <row r="199" spans="1:49">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9"/>
      <c r="AB199" s="9"/>
      <c r="AC199" s="19"/>
      <c r="AD199" s="9"/>
      <c r="AE199" s="9"/>
      <c r="AF199" s="9"/>
      <c r="AG199" s="189"/>
      <c r="AH199" s="189"/>
      <c r="AI199" s="189"/>
      <c r="AJ199" s="189"/>
      <c r="AK199" s="189"/>
      <c r="AL199" s="189"/>
      <c r="AM199" s="189"/>
      <c r="AN199" s="189"/>
      <c r="AO199" s="189"/>
      <c r="AP199" s="189"/>
      <c r="AQ199" s="189"/>
      <c r="AR199" s="189"/>
      <c r="AS199" s="189"/>
      <c r="AT199" s="189"/>
      <c r="AU199" s="189"/>
      <c r="AV199" s="189"/>
      <c r="AW199" s="189"/>
    </row>
    <row r="200" spans="1:49">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9"/>
      <c r="AB200" s="9"/>
      <c r="AC200" s="19"/>
      <c r="AD200" s="9"/>
      <c r="AE200" s="9"/>
      <c r="AF200" s="9"/>
      <c r="AG200" s="189"/>
      <c r="AH200" s="189"/>
      <c r="AI200" s="189"/>
      <c r="AJ200" s="189"/>
      <c r="AK200" s="189"/>
      <c r="AL200" s="189"/>
      <c r="AM200" s="189"/>
      <c r="AN200" s="189"/>
      <c r="AO200" s="189"/>
      <c r="AP200" s="189"/>
      <c r="AQ200" s="189"/>
      <c r="AR200" s="189"/>
      <c r="AS200" s="189"/>
      <c r="AT200" s="189"/>
      <c r="AU200" s="189"/>
      <c r="AV200" s="189"/>
      <c r="AW200" s="189"/>
    </row>
    <row r="201" spans="1:49">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9"/>
      <c r="AB201" s="9"/>
      <c r="AC201" s="19"/>
      <c r="AD201" s="9"/>
      <c r="AE201" s="9"/>
      <c r="AF201" s="9"/>
      <c r="AG201" s="189"/>
      <c r="AH201" s="189"/>
      <c r="AI201" s="189"/>
      <c r="AJ201" s="189"/>
      <c r="AK201" s="189"/>
      <c r="AL201" s="189"/>
      <c r="AM201" s="189"/>
      <c r="AN201" s="189"/>
      <c r="AO201" s="189"/>
      <c r="AP201" s="189"/>
      <c r="AQ201" s="189"/>
      <c r="AR201" s="189"/>
      <c r="AS201" s="189"/>
      <c r="AT201" s="189"/>
      <c r="AU201" s="189"/>
      <c r="AV201" s="189"/>
      <c r="AW201" s="189"/>
    </row>
    <row r="202" spans="1:49">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9"/>
      <c r="AB202" s="9"/>
      <c r="AC202" s="19"/>
      <c r="AD202" s="9"/>
      <c r="AE202" s="9"/>
      <c r="AF202" s="9"/>
      <c r="AG202" s="189"/>
      <c r="AH202" s="189"/>
      <c r="AI202" s="189"/>
      <c r="AJ202" s="189"/>
      <c r="AK202" s="189"/>
      <c r="AL202" s="189"/>
      <c r="AM202" s="189"/>
      <c r="AN202" s="189"/>
      <c r="AO202" s="189"/>
      <c r="AP202" s="189"/>
      <c r="AQ202" s="189"/>
      <c r="AR202" s="189"/>
      <c r="AS202" s="189"/>
      <c r="AT202" s="189"/>
      <c r="AU202" s="189"/>
      <c r="AV202" s="189"/>
      <c r="AW202" s="189"/>
    </row>
    <row r="203" spans="1:49">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9"/>
      <c r="AB203" s="9"/>
      <c r="AC203" s="19"/>
      <c r="AD203" s="9"/>
      <c r="AE203" s="9"/>
      <c r="AF203" s="9"/>
      <c r="AG203" s="189"/>
      <c r="AH203" s="189"/>
      <c r="AI203" s="189"/>
      <c r="AJ203" s="189"/>
      <c r="AK203" s="189"/>
      <c r="AL203" s="189"/>
      <c r="AM203" s="189"/>
      <c r="AN203" s="189"/>
      <c r="AO203" s="189"/>
      <c r="AP203" s="189"/>
      <c r="AQ203" s="189"/>
      <c r="AR203" s="189"/>
      <c r="AS203" s="189"/>
      <c r="AT203" s="189"/>
      <c r="AU203" s="189"/>
      <c r="AV203" s="189"/>
      <c r="AW203" s="189"/>
    </row>
    <row r="204" spans="1:49">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9"/>
      <c r="AB204" s="9"/>
      <c r="AC204" s="19"/>
      <c r="AD204" s="9"/>
      <c r="AE204" s="9"/>
      <c r="AF204" s="9"/>
      <c r="AG204" s="189"/>
      <c r="AH204" s="189"/>
      <c r="AI204" s="189"/>
      <c r="AJ204" s="189"/>
      <c r="AK204" s="189"/>
      <c r="AL204" s="189"/>
      <c r="AM204" s="189"/>
      <c r="AN204" s="189"/>
      <c r="AO204" s="189"/>
      <c r="AP204" s="189"/>
      <c r="AQ204" s="189"/>
      <c r="AR204" s="189"/>
      <c r="AS204" s="189"/>
      <c r="AT204" s="189"/>
      <c r="AU204" s="189"/>
      <c r="AV204" s="189"/>
      <c r="AW204" s="189"/>
    </row>
    <row r="205" spans="1:49">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9"/>
      <c r="AB205" s="9"/>
      <c r="AC205" s="19"/>
      <c r="AD205" s="9"/>
      <c r="AE205" s="9"/>
      <c r="AF205" s="9"/>
    </row>
    <row r="206" spans="1:49">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9"/>
      <c r="AB206" s="9"/>
      <c r="AC206" s="19"/>
      <c r="AD206" s="9"/>
      <c r="AE206" s="9"/>
      <c r="AF206" s="9"/>
    </row>
    <row r="207" spans="1:49">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9"/>
      <c r="AB207" s="9"/>
      <c r="AC207" s="19"/>
      <c r="AD207" s="9"/>
      <c r="AE207" s="9"/>
      <c r="AF207" s="9"/>
    </row>
    <row r="208" spans="1:49">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9"/>
      <c r="AB208" s="9"/>
      <c r="AC208" s="19"/>
      <c r="AD208" s="9"/>
      <c r="AE208" s="9"/>
      <c r="AF208" s="9"/>
    </row>
    <row r="209" spans="1:32">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9"/>
      <c r="AB209" s="9"/>
      <c r="AC209" s="19"/>
      <c r="AD209" s="9"/>
      <c r="AE209" s="9"/>
      <c r="AF209" s="9"/>
    </row>
    <row r="210" spans="1:32">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9"/>
      <c r="AB210" s="9"/>
      <c r="AC210" s="19"/>
      <c r="AD210" s="9"/>
      <c r="AE210" s="9"/>
      <c r="AF210" s="9"/>
    </row>
    <row r="211" spans="1:32">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9"/>
      <c r="AB211" s="9"/>
      <c r="AC211" s="19"/>
      <c r="AD211" s="9"/>
      <c r="AE211" s="9"/>
      <c r="AF211" s="9"/>
    </row>
    <row r="212" spans="1:32">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9"/>
      <c r="AB212" s="9"/>
      <c r="AC212" s="19"/>
      <c r="AD212" s="9"/>
      <c r="AE212" s="9"/>
      <c r="AF212" s="9"/>
    </row>
    <row r="215" spans="1:32">
      <c r="H215" s="287"/>
      <c r="J215" s="287"/>
    </row>
    <row r="216" spans="1:32">
      <c r="H216" s="287"/>
      <c r="J216" s="2"/>
    </row>
    <row r="217" spans="1:32">
      <c r="H217" s="287"/>
      <c r="J217" s="2"/>
    </row>
    <row r="218" spans="1:32">
      <c r="H218" s="287"/>
      <c r="J218" s="2"/>
    </row>
    <row r="219" spans="1:32">
      <c r="H219" s="287"/>
      <c r="J219" s="2"/>
    </row>
    <row r="220" spans="1:32">
      <c r="H220" s="287"/>
      <c r="J220" s="2"/>
    </row>
    <row r="221" spans="1:32">
      <c r="H221" s="287"/>
      <c r="J221" s="287"/>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count="1">
    <dataValidation type="custom" showInputMessage="1" showErrorMessage="1" error="Invalid input, please try again." sqref="V7:W25 K7:L3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zoomScale="85" workbookViewId="0">
      <pane ySplit="4" topLeftCell="A5" activePane="bottomLeft" state="frozen"/>
      <selection activeCell="AC17" sqref="AC17"/>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13"/>
      <c r="BK1" s="213"/>
    </row>
    <row r="2" spans="1:256" ht="15.75">
      <c r="A2" s="9"/>
      <c r="B2" s="57" t="s">
        <v>78</v>
      </c>
      <c r="C2" s="9"/>
      <c r="D2" s="9"/>
      <c r="E2" s="9"/>
      <c r="F2" s="9"/>
      <c r="G2" s="9"/>
      <c r="H2" s="9"/>
      <c r="I2" s="9"/>
      <c r="J2" s="9"/>
      <c r="K2" s="9"/>
      <c r="L2" s="9"/>
      <c r="M2" s="9"/>
      <c r="N2" s="9"/>
      <c r="O2" s="9"/>
      <c r="P2" s="9"/>
      <c r="Q2" s="9"/>
      <c r="R2" s="12"/>
      <c r="S2" s="12"/>
      <c r="T2" s="12"/>
      <c r="U2" s="12"/>
      <c r="V2" s="12"/>
      <c r="W2" s="12"/>
      <c r="X2" s="12"/>
      <c r="Y2" s="12"/>
      <c r="Z2" s="12"/>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18"/>
      <c r="BK3" s="21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52"/>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13"/>
      <c r="BK4" s="21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13"/>
      <c r="BK5" s="21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430">
        <v>1.2612612612612484E-2</v>
      </c>
      <c r="G6" s="191">
        <f>Input!G177</f>
        <v>1.2612612612612484E-2</v>
      </c>
      <c r="H6" s="20"/>
      <c r="I6" s="20"/>
      <c r="J6" s="20"/>
      <c r="K6" s="20"/>
      <c r="L6" s="20"/>
      <c r="M6" s="20"/>
      <c r="N6" s="20"/>
      <c r="O6" s="20"/>
      <c r="P6" s="20"/>
      <c r="Q6" s="20"/>
      <c r="R6" s="41"/>
      <c r="S6" s="52"/>
      <c r="T6" s="41"/>
      <c r="U6" s="41"/>
      <c r="V6" s="41"/>
      <c r="W6" s="41"/>
      <c r="X6" s="41"/>
      <c r="Y6" s="41"/>
      <c r="Z6" s="41"/>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13"/>
      <c r="BK6" s="213"/>
    </row>
    <row r="7" spans="1:256">
      <c r="A7" s="9"/>
      <c r="B7" s="96" t="s">
        <v>85</v>
      </c>
      <c r="C7" s="9"/>
      <c r="D7" s="9"/>
      <c r="E7" s="9"/>
      <c r="F7" s="9"/>
      <c r="G7" s="191"/>
      <c r="H7" s="228">
        <f>vanilla1</f>
        <v>9.7169053477190515E-2</v>
      </c>
      <c r="I7" s="95">
        <f>vanilla2</f>
        <v>0.10498512842007601</v>
      </c>
      <c r="J7" s="95">
        <f>vanilla3</f>
        <v>8.8804215816207677E-2</v>
      </c>
      <c r="K7" s="95">
        <f>vanilla4</f>
        <v>9.0481038439675254E-2</v>
      </c>
      <c r="L7" s="95">
        <f>vanilla5</f>
        <v>9.2045781941578531E-2</v>
      </c>
      <c r="M7" s="95">
        <f>vanilla6</f>
        <v>0</v>
      </c>
      <c r="N7" s="95">
        <f>vanilla7</f>
        <v>0</v>
      </c>
      <c r="O7" s="95">
        <f>vanilla8</f>
        <v>0</v>
      </c>
      <c r="P7" s="95">
        <f>vanilla9</f>
        <v>0</v>
      </c>
      <c r="Q7" s="95">
        <f>vanilla10</f>
        <v>0</v>
      </c>
      <c r="R7" s="95"/>
      <c r="S7" s="52"/>
      <c r="T7" s="140"/>
      <c r="U7" s="140"/>
      <c r="V7" s="140"/>
      <c r="W7" s="140"/>
      <c r="X7" s="140"/>
      <c r="Y7" s="140"/>
      <c r="Z7" s="140"/>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3"/>
      <c r="BK7" s="213"/>
    </row>
    <row r="8" spans="1:256">
      <c r="A8" s="9"/>
      <c r="B8" s="96"/>
      <c r="C8" s="9"/>
      <c r="D8" s="9"/>
      <c r="E8" s="9"/>
      <c r="F8" s="9"/>
      <c r="G8" s="145"/>
      <c r="H8" s="145"/>
      <c r="I8" s="145"/>
      <c r="J8" s="145"/>
      <c r="K8" s="145"/>
      <c r="L8" s="145"/>
      <c r="M8" s="139"/>
      <c r="N8" s="139"/>
      <c r="O8" s="139"/>
      <c r="P8" s="139"/>
      <c r="Q8" s="139"/>
      <c r="R8" s="140"/>
      <c r="S8" s="292"/>
      <c r="T8" s="140"/>
      <c r="U8" s="140"/>
      <c r="V8" s="140"/>
      <c r="W8" s="140"/>
      <c r="X8" s="140"/>
      <c r="Y8" s="140"/>
      <c r="Z8" s="140"/>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3"/>
      <c r="BK8" s="213"/>
    </row>
    <row r="9" spans="1:256">
      <c r="A9" s="81"/>
      <c r="B9" s="81" t="s">
        <v>42</v>
      </c>
      <c r="C9" s="110"/>
      <c r="D9" s="110"/>
      <c r="E9" s="110"/>
      <c r="F9" s="110"/>
      <c r="G9" s="110"/>
      <c r="H9" s="74"/>
      <c r="I9" s="74"/>
      <c r="J9" s="74"/>
      <c r="K9" s="74"/>
      <c r="L9" s="74"/>
      <c r="M9" s="74"/>
      <c r="N9" s="74"/>
      <c r="O9" s="74"/>
      <c r="P9" s="74"/>
      <c r="Q9" s="74"/>
      <c r="R9" s="74"/>
      <c r="S9" s="292"/>
      <c r="T9" s="140"/>
      <c r="U9" s="140"/>
      <c r="V9" s="140"/>
      <c r="W9" s="140"/>
      <c r="X9" s="140"/>
      <c r="Y9" s="140"/>
      <c r="Z9" s="140"/>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3"/>
      <c r="BK9" s="213"/>
    </row>
    <row r="10" spans="1:256">
      <c r="A10" s="17"/>
      <c r="B10" s="17"/>
      <c r="C10" s="123"/>
      <c r="D10" s="123"/>
      <c r="E10" s="123"/>
      <c r="F10" s="123"/>
      <c r="G10" s="123"/>
      <c r="H10" s="12"/>
      <c r="I10" s="12"/>
      <c r="J10" s="12"/>
      <c r="K10" s="12"/>
      <c r="L10" s="12"/>
      <c r="M10" s="12"/>
      <c r="N10" s="12"/>
      <c r="O10" s="12"/>
      <c r="P10" s="12"/>
      <c r="Q10" s="12"/>
      <c r="R10" s="140"/>
      <c r="S10" s="292"/>
      <c r="T10" s="140"/>
      <c r="U10" s="140"/>
      <c r="V10" s="140"/>
      <c r="W10" s="140"/>
      <c r="X10" s="140"/>
      <c r="Y10" s="140"/>
      <c r="Z10" s="140"/>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3"/>
      <c r="BK10" s="213"/>
    </row>
    <row r="11" spans="1:256">
      <c r="A11" s="9"/>
      <c r="B11" s="46" t="s">
        <v>81</v>
      </c>
      <c r="C11" s="9"/>
      <c r="D11" s="9"/>
      <c r="E11" s="9"/>
      <c r="F11" s="9"/>
      <c r="G11" s="192">
        <f>SUM(G12:G41)</f>
        <v>125.76363773002549</v>
      </c>
      <c r="H11" s="145"/>
      <c r="I11" s="145"/>
      <c r="J11" s="145"/>
      <c r="K11" s="145"/>
      <c r="L11" s="145"/>
      <c r="M11" s="139"/>
      <c r="N11" s="139"/>
      <c r="O11" s="139"/>
      <c r="P11" s="139"/>
      <c r="Q11" s="139"/>
      <c r="R11" s="140"/>
      <c r="S11" s="292"/>
      <c r="T11" s="140"/>
      <c r="U11" s="140"/>
      <c r="V11" s="140"/>
      <c r="W11" s="140"/>
      <c r="X11" s="140"/>
      <c r="Y11" s="140"/>
      <c r="Z11" s="140"/>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3"/>
      <c r="BK11" s="213"/>
    </row>
    <row r="12" spans="1:256" ht="12.75" hidden="1" customHeight="1" outlineLevel="1">
      <c r="A12" s="9"/>
      <c r="B12" s="9"/>
      <c r="C12" s="130" t="str">
        <f>Asset1</f>
        <v>Subtransmission</v>
      </c>
      <c r="D12" s="9"/>
      <c r="E12" s="9"/>
      <c r="F12" s="9"/>
      <c r="G12" s="193">
        <f>Input!M7</f>
        <v>21.188638065017898</v>
      </c>
      <c r="H12" s="145"/>
      <c r="I12" s="145"/>
      <c r="J12" s="145"/>
      <c r="K12" s="145"/>
      <c r="L12" s="145"/>
      <c r="M12" s="139"/>
      <c r="N12" s="139"/>
      <c r="O12" s="139"/>
      <c r="P12" s="139"/>
      <c r="Q12" s="139"/>
      <c r="R12" s="140"/>
      <c r="S12" s="292"/>
      <c r="T12" s="140"/>
      <c r="U12" s="140"/>
      <c r="V12" s="140"/>
      <c r="W12" s="140"/>
      <c r="X12" s="140"/>
      <c r="Y12" s="140"/>
      <c r="Z12" s="140"/>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3"/>
      <c r="BK12" s="213"/>
    </row>
    <row r="13" spans="1:256" ht="12.75" hidden="1" customHeight="1" outlineLevel="1">
      <c r="A13" s="9"/>
      <c r="B13" s="46"/>
      <c r="C13" s="130" t="str">
        <f>Asset2</f>
        <v>Distribution system assets</v>
      </c>
      <c r="D13" s="9"/>
      <c r="E13" s="9"/>
      <c r="F13" s="142"/>
      <c r="G13" s="193">
        <f>Input!M8</f>
        <v>94.705826815053854</v>
      </c>
      <c r="H13" s="145"/>
      <c r="I13" s="145"/>
      <c r="J13" s="145"/>
      <c r="K13" s="145"/>
      <c r="L13" s="145"/>
      <c r="M13" s="139"/>
      <c r="N13" s="139"/>
      <c r="O13" s="139"/>
      <c r="P13" s="139"/>
      <c r="Q13" s="139"/>
      <c r="R13" s="140"/>
      <c r="S13" s="52"/>
      <c r="T13" s="140"/>
      <c r="U13" s="140"/>
      <c r="V13" s="140"/>
      <c r="W13" s="140"/>
      <c r="X13" s="140"/>
      <c r="Y13" s="140"/>
      <c r="Z13" s="140"/>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3"/>
      <c r="BK13" s="213"/>
    </row>
    <row r="14" spans="1:256" ht="12.75" hidden="1" customHeight="1" outlineLevel="1">
      <c r="A14" s="9"/>
      <c r="B14" s="46"/>
      <c r="C14" s="130" t="str">
        <f>Asset3</f>
        <v>Standard metering</v>
      </c>
      <c r="D14" s="9"/>
      <c r="E14" s="9"/>
      <c r="F14" s="142"/>
      <c r="G14" s="193">
        <f>Input!M9</f>
        <v>0</v>
      </c>
      <c r="H14" s="145"/>
      <c r="I14" s="145"/>
      <c r="J14" s="145"/>
      <c r="K14" s="145"/>
      <c r="L14" s="145"/>
      <c r="M14" s="139"/>
      <c r="N14" s="139"/>
      <c r="O14" s="139"/>
      <c r="P14" s="139"/>
      <c r="Q14" s="139"/>
      <c r="R14" s="140"/>
      <c r="S14" s="12"/>
      <c r="T14" s="140"/>
      <c r="U14" s="140"/>
      <c r="V14" s="140"/>
      <c r="W14" s="140"/>
      <c r="X14" s="140"/>
      <c r="Y14" s="140"/>
      <c r="Z14" s="140"/>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3"/>
      <c r="BK14" s="213"/>
    </row>
    <row r="15" spans="1:256" ht="12.75" hidden="1" customHeight="1" outlineLevel="1">
      <c r="A15" s="9"/>
      <c r="B15" s="46"/>
      <c r="C15" s="130" t="str">
        <f>Asset4</f>
        <v>Public lighting</v>
      </c>
      <c r="D15" s="9"/>
      <c r="E15" s="9"/>
      <c r="F15" s="142"/>
      <c r="G15" s="193">
        <f>Input!M10</f>
        <v>0</v>
      </c>
      <c r="H15" s="145"/>
      <c r="I15" s="145"/>
      <c r="J15" s="145"/>
      <c r="K15" s="145"/>
      <c r="L15" s="145"/>
      <c r="M15" s="139"/>
      <c r="N15" s="139"/>
      <c r="O15" s="139"/>
      <c r="P15" s="139"/>
      <c r="Q15" s="139"/>
      <c r="R15" s="140"/>
      <c r="S15" s="52"/>
      <c r="T15" s="140"/>
      <c r="U15" s="140"/>
      <c r="V15" s="140"/>
      <c r="W15" s="140"/>
      <c r="X15" s="140"/>
      <c r="Y15" s="140"/>
      <c r="Z15" s="140"/>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3"/>
      <c r="BK15" s="213"/>
    </row>
    <row r="16" spans="1:256" ht="12.75" hidden="1" customHeight="1" outlineLevel="1">
      <c r="A16" s="9"/>
      <c r="B16" s="46"/>
      <c r="C16" s="130" t="str">
        <f>Asset5</f>
        <v>SCADA/Network control</v>
      </c>
      <c r="D16" s="9"/>
      <c r="E16" s="9"/>
      <c r="F16" s="172"/>
      <c r="G16" s="193">
        <f>Input!M11</f>
        <v>2.653848514099213</v>
      </c>
      <c r="H16" s="145"/>
      <c r="I16" s="145"/>
      <c r="J16" s="145"/>
      <c r="K16" s="145"/>
      <c r="L16" s="145"/>
      <c r="M16" s="139"/>
      <c r="N16" s="139"/>
      <c r="O16" s="139"/>
      <c r="P16" s="139"/>
      <c r="Q16" s="139"/>
      <c r="R16" s="140"/>
      <c r="S16" s="52"/>
      <c r="T16" s="140"/>
      <c r="U16" s="140"/>
      <c r="V16" s="140"/>
      <c r="W16" s="140"/>
      <c r="X16" s="140"/>
      <c r="Y16" s="140"/>
      <c r="Z16" s="140"/>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3"/>
      <c r="BK16" s="213"/>
    </row>
    <row r="17" spans="1:63" ht="12.75" hidden="1" customHeight="1" outlineLevel="1">
      <c r="A17" s="9"/>
      <c r="B17" s="46"/>
      <c r="C17" s="130" t="str">
        <f>Asset6</f>
        <v>Non-network general assets - IT</v>
      </c>
      <c r="D17" s="9"/>
      <c r="E17" s="9"/>
      <c r="F17" s="142"/>
      <c r="G17" s="193">
        <f>Input!M12</f>
        <v>4.9837282671718182</v>
      </c>
      <c r="H17" s="145"/>
      <c r="I17" s="145"/>
      <c r="J17" s="145"/>
      <c r="K17" s="145"/>
      <c r="L17" s="145"/>
      <c r="M17" s="139"/>
      <c r="N17" s="139"/>
      <c r="O17" s="139"/>
      <c r="P17" s="139"/>
      <c r="Q17" s="139"/>
      <c r="R17" s="140"/>
      <c r="S17" s="12"/>
      <c r="T17" s="140"/>
      <c r="U17" s="140"/>
      <c r="V17" s="140"/>
      <c r="W17" s="140"/>
      <c r="X17" s="140"/>
      <c r="Y17" s="140"/>
      <c r="Z17" s="140"/>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3"/>
      <c r="BK17" s="213"/>
    </row>
    <row r="18" spans="1:63" ht="12.75" hidden="1" customHeight="1" outlineLevel="1">
      <c r="A18" s="9"/>
      <c r="B18" s="46"/>
      <c r="C18" s="130" t="str">
        <f>Asset7</f>
        <v>Non-network general assets - Other</v>
      </c>
      <c r="D18" s="9"/>
      <c r="E18" s="9"/>
      <c r="F18" s="142"/>
      <c r="G18" s="193">
        <f>Input!M13</f>
        <v>2.2315960686827254</v>
      </c>
      <c r="H18" s="145"/>
      <c r="I18" s="145"/>
      <c r="J18" s="145"/>
      <c r="K18" s="145"/>
      <c r="L18" s="145"/>
      <c r="M18" s="139"/>
      <c r="N18" s="139"/>
      <c r="O18" s="139"/>
      <c r="P18" s="139"/>
      <c r="Q18" s="139"/>
      <c r="R18" s="140"/>
      <c r="S18" s="52"/>
      <c r="T18" s="140"/>
      <c r="U18" s="140"/>
      <c r="V18" s="140"/>
      <c r="W18" s="140"/>
      <c r="X18" s="140"/>
      <c r="Y18" s="140"/>
      <c r="Z18" s="140"/>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3"/>
      <c r="BK18" s="213"/>
    </row>
    <row r="19" spans="1:63" ht="12.75" hidden="1" customHeight="1" outlineLevel="1">
      <c r="A19" s="9"/>
      <c r="B19" s="46"/>
      <c r="C19" s="130" t="str">
        <f>Asset8</f>
        <v>VBRC</v>
      </c>
      <c r="D19" s="9"/>
      <c r="E19" s="9"/>
      <c r="F19" s="142"/>
      <c r="G19" s="193">
        <f>Input!M14</f>
        <v>0</v>
      </c>
      <c r="H19" s="145"/>
      <c r="I19" s="145"/>
      <c r="J19" s="145"/>
      <c r="K19" s="145"/>
      <c r="L19" s="145"/>
      <c r="M19" s="139"/>
      <c r="N19" s="139"/>
      <c r="O19" s="139"/>
      <c r="P19" s="139"/>
      <c r="Q19" s="139"/>
      <c r="R19" s="140"/>
      <c r="S19" s="52"/>
      <c r="T19" s="140"/>
      <c r="U19" s="140"/>
      <c r="V19" s="140"/>
      <c r="W19" s="140"/>
      <c r="X19" s="140"/>
      <c r="Y19" s="140"/>
      <c r="Z19" s="140"/>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3"/>
      <c r="BK19" s="213"/>
    </row>
    <row r="20" spans="1:63" ht="12.75" hidden="1" customHeight="1" outlineLevel="1">
      <c r="A20" s="9"/>
      <c r="B20" s="46"/>
      <c r="C20" s="130" t="str">
        <f>Asset9</f>
        <v>Equity raising</v>
      </c>
      <c r="D20" s="9"/>
      <c r="E20" s="9"/>
      <c r="F20" s="142"/>
      <c r="G20" s="193">
        <f>Input!M15</f>
        <v>0</v>
      </c>
      <c r="H20" s="145"/>
      <c r="I20" s="145"/>
      <c r="J20" s="145"/>
      <c r="K20" s="145"/>
      <c r="L20" s="145"/>
      <c r="M20" s="139"/>
      <c r="N20" s="139"/>
      <c r="O20" s="139"/>
      <c r="P20" s="139"/>
      <c r="Q20" s="139"/>
      <c r="R20" s="140"/>
      <c r="S20" s="12"/>
      <c r="T20" s="140"/>
      <c r="U20" s="140"/>
      <c r="V20" s="140"/>
      <c r="W20" s="140"/>
      <c r="X20" s="140"/>
      <c r="Y20" s="140"/>
      <c r="Z20" s="140"/>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3"/>
      <c r="BK20" s="213"/>
    </row>
    <row r="21" spans="1:63" ht="12.75" hidden="1" customHeight="1" outlineLevel="1">
      <c r="A21" s="9"/>
      <c r="B21" s="46"/>
      <c r="C21" s="130">
        <f>Asset10</f>
        <v>0</v>
      </c>
      <c r="D21" s="9"/>
      <c r="E21" s="9"/>
      <c r="F21" s="142"/>
      <c r="G21" s="193">
        <f>Input!M16</f>
        <v>0</v>
      </c>
      <c r="H21" s="145"/>
      <c r="I21" s="145"/>
      <c r="J21" s="145"/>
      <c r="K21" s="145"/>
      <c r="L21" s="145"/>
      <c r="M21" s="139"/>
      <c r="N21" s="139"/>
      <c r="O21" s="139"/>
      <c r="P21" s="139"/>
      <c r="Q21" s="139"/>
      <c r="R21" s="140"/>
      <c r="S21" s="52"/>
      <c r="T21" s="140"/>
      <c r="U21" s="140"/>
      <c r="V21" s="140"/>
      <c r="W21" s="140"/>
      <c r="X21" s="140"/>
      <c r="Y21" s="140"/>
      <c r="Z21" s="140"/>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3"/>
      <c r="BK21" s="213"/>
    </row>
    <row r="22" spans="1:63" ht="12.75" hidden="1" customHeight="1" outlineLevel="1">
      <c r="A22" s="9"/>
      <c r="B22" s="46"/>
      <c r="C22" s="130">
        <f>Asset11</f>
        <v>0</v>
      </c>
      <c r="D22" s="9"/>
      <c r="E22" s="9"/>
      <c r="F22" s="142"/>
      <c r="G22" s="193">
        <f>Input!M17</f>
        <v>0</v>
      </c>
      <c r="H22" s="145"/>
      <c r="I22" s="145"/>
      <c r="J22" s="145"/>
      <c r="K22" s="145"/>
      <c r="L22" s="145"/>
      <c r="M22" s="139"/>
      <c r="N22" s="139"/>
      <c r="O22" s="139"/>
      <c r="P22" s="139"/>
      <c r="Q22" s="139"/>
      <c r="R22" s="140"/>
      <c r="S22" s="52"/>
      <c r="T22" s="140"/>
      <c r="U22" s="140"/>
      <c r="V22" s="140"/>
      <c r="W22" s="140"/>
      <c r="X22" s="140"/>
      <c r="Y22" s="140"/>
      <c r="Z22" s="140"/>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3"/>
      <c r="BK22" s="213"/>
    </row>
    <row r="23" spans="1:63" ht="12.75" hidden="1" customHeight="1" outlineLevel="1">
      <c r="A23" s="9"/>
      <c r="B23" s="46"/>
      <c r="C23" s="130">
        <f>Asset12</f>
        <v>0</v>
      </c>
      <c r="D23" s="9"/>
      <c r="E23" s="9"/>
      <c r="F23" s="142"/>
      <c r="G23" s="193">
        <f>Input!M18</f>
        <v>0</v>
      </c>
      <c r="H23" s="145"/>
      <c r="I23" s="145"/>
      <c r="J23" s="145"/>
      <c r="K23" s="145"/>
      <c r="L23" s="145"/>
      <c r="M23" s="139"/>
      <c r="N23" s="139"/>
      <c r="O23" s="139"/>
      <c r="P23" s="139"/>
      <c r="Q23" s="139"/>
      <c r="R23" s="140"/>
      <c r="S23" s="12"/>
      <c r="T23" s="140"/>
      <c r="U23" s="140"/>
      <c r="V23" s="140"/>
      <c r="W23" s="140"/>
      <c r="X23" s="140"/>
      <c r="Y23" s="140"/>
      <c r="Z23" s="140"/>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3"/>
      <c r="BK23" s="213"/>
    </row>
    <row r="24" spans="1:63" ht="12.75" hidden="1" customHeight="1" outlineLevel="1">
      <c r="A24" s="9"/>
      <c r="B24" s="46"/>
      <c r="C24" s="130">
        <f>Asset13</f>
        <v>0</v>
      </c>
      <c r="D24" s="9"/>
      <c r="E24" s="9"/>
      <c r="F24" s="142"/>
      <c r="G24" s="193">
        <f>Input!M19</f>
        <v>0</v>
      </c>
      <c r="H24" s="145"/>
      <c r="I24" s="145"/>
      <c r="J24" s="145"/>
      <c r="K24" s="145"/>
      <c r="L24" s="145"/>
      <c r="M24" s="139"/>
      <c r="N24" s="139"/>
      <c r="O24" s="139"/>
      <c r="P24" s="139"/>
      <c r="Q24" s="139"/>
      <c r="R24" s="140"/>
      <c r="S24" s="52"/>
      <c r="T24" s="140"/>
      <c r="U24" s="140"/>
      <c r="V24" s="140"/>
      <c r="W24" s="140"/>
      <c r="X24" s="140"/>
      <c r="Y24" s="140"/>
      <c r="Z24" s="140"/>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3"/>
      <c r="BK24" s="213"/>
    </row>
    <row r="25" spans="1:63" ht="12.75" hidden="1" customHeight="1" outlineLevel="1">
      <c r="A25" s="9"/>
      <c r="B25" s="46"/>
      <c r="C25" s="130">
        <f>Asset14</f>
        <v>0</v>
      </c>
      <c r="D25" s="9"/>
      <c r="E25" s="9"/>
      <c r="F25" s="142"/>
      <c r="G25" s="193">
        <f>Input!M20</f>
        <v>0</v>
      </c>
      <c r="H25" s="145"/>
      <c r="I25" s="145"/>
      <c r="J25" s="145"/>
      <c r="K25" s="145"/>
      <c r="L25" s="145"/>
      <c r="M25" s="139"/>
      <c r="N25" s="139"/>
      <c r="O25" s="139"/>
      <c r="P25" s="139"/>
      <c r="Q25" s="139"/>
      <c r="R25" s="140"/>
      <c r="S25" s="52"/>
      <c r="T25" s="140"/>
      <c r="U25" s="140"/>
      <c r="V25" s="140"/>
      <c r="W25" s="140"/>
      <c r="X25" s="140"/>
      <c r="Y25" s="140"/>
      <c r="Z25" s="140"/>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3"/>
      <c r="BK25" s="213"/>
    </row>
    <row r="26" spans="1:63" ht="12.75" hidden="1" customHeight="1" outlineLevel="1">
      <c r="A26" s="9"/>
      <c r="B26" s="46"/>
      <c r="C26" s="130">
        <f>Asset15</f>
        <v>0</v>
      </c>
      <c r="D26" s="9"/>
      <c r="E26" s="9"/>
      <c r="F26" s="142"/>
      <c r="G26" s="193">
        <f>Input!M21</f>
        <v>0</v>
      </c>
      <c r="H26" s="145"/>
      <c r="I26" s="145"/>
      <c r="J26" s="145"/>
      <c r="K26" s="145"/>
      <c r="L26" s="145"/>
      <c r="M26" s="139"/>
      <c r="N26" s="139"/>
      <c r="O26" s="139"/>
      <c r="P26" s="139"/>
      <c r="Q26" s="139"/>
      <c r="R26" s="140"/>
      <c r="S26" s="12"/>
      <c r="T26" s="140"/>
      <c r="U26" s="140"/>
      <c r="V26" s="140"/>
      <c r="W26" s="140"/>
      <c r="X26" s="140"/>
      <c r="Y26" s="140"/>
      <c r="Z26" s="140"/>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3"/>
      <c r="BK26" s="213"/>
    </row>
    <row r="27" spans="1:63" ht="12.75" hidden="1" customHeight="1" outlineLevel="1">
      <c r="A27" s="9"/>
      <c r="B27" s="46"/>
      <c r="C27" s="130">
        <f>Asset16</f>
        <v>0</v>
      </c>
      <c r="D27" s="9"/>
      <c r="E27" s="9"/>
      <c r="F27" s="142"/>
      <c r="G27" s="193">
        <f>Input!M22</f>
        <v>0</v>
      </c>
      <c r="H27" s="145"/>
      <c r="I27" s="145"/>
      <c r="J27" s="145"/>
      <c r="K27" s="145"/>
      <c r="L27" s="145"/>
      <c r="M27" s="139"/>
      <c r="N27" s="139"/>
      <c r="O27" s="139"/>
      <c r="P27" s="139"/>
      <c r="Q27" s="139"/>
      <c r="R27" s="140"/>
      <c r="S27" s="52"/>
      <c r="T27" s="140"/>
      <c r="U27" s="140"/>
      <c r="V27" s="140"/>
      <c r="W27" s="140"/>
      <c r="X27" s="140"/>
      <c r="Y27" s="140"/>
      <c r="Z27" s="140"/>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3"/>
      <c r="BK27" s="213"/>
    </row>
    <row r="28" spans="1:63" ht="12.75" hidden="1" customHeight="1" outlineLevel="1">
      <c r="A28" s="9"/>
      <c r="B28" s="46"/>
      <c r="C28" s="130">
        <f>Asset17</f>
        <v>0</v>
      </c>
      <c r="D28" s="9"/>
      <c r="E28" s="9"/>
      <c r="F28" s="142"/>
      <c r="G28" s="193">
        <f>Input!M23</f>
        <v>0</v>
      </c>
      <c r="H28" s="145"/>
      <c r="I28" s="145"/>
      <c r="J28" s="145"/>
      <c r="K28" s="145"/>
      <c r="L28" s="145"/>
      <c r="M28" s="139"/>
      <c r="N28" s="139"/>
      <c r="O28" s="139"/>
      <c r="P28" s="139"/>
      <c r="Q28" s="139"/>
      <c r="R28" s="140"/>
      <c r="S28" s="52"/>
      <c r="T28" s="140"/>
      <c r="U28" s="140"/>
      <c r="V28" s="140"/>
      <c r="W28" s="140"/>
      <c r="X28" s="140"/>
      <c r="Y28" s="140"/>
      <c r="Z28" s="140"/>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3"/>
      <c r="BK28" s="213"/>
    </row>
    <row r="29" spans="1:63" ht="12.75" hidden="1" customHeight="1" outlineLevel="1">
      <c r="A29" s="9"/>
      <c r="B29" s="46"/>
      <c r="C29" s="130">
        <f>Asset18</f>
        <v>0</v>
      </c>
      <c r="D29" s="9"/>
      <c r="E29" s="9"/>
      <c r="F29" s="142"/>
      <c r="G29" s="193">
        <f>Input!M24</f>
        <v>0</v>
      </c>
      <c r="H29" s="145"/>
      <c r="I29" s="145"/>
      <c r="J29" s="145"/>
      <c r="K29" s="145"/>
      <c r="L29" s="145"/>
      <c r="M29" s="139"/>
      <c r="N29" s="139"/>
      <c r="O29" s="139"/>
      <c r="P29" s="139"/>
      <c r="Q29" s="139"/>
      <c r="R29" s="140"/>
      <c r="S29" s="12"/>
      <c r="T29" s="140"/>
      <c r="U29" s="140"/>
      <c r="V29" s="140"/>
      <c r="W29" s="140"/>
      <c r="X29" s="140"/>
      <c r="Y29" s="140"/>
      <c r="Z29" s="140"/>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3"/>
      <c r="BK29" s="213"/>
    </row>
    <row r="30" spans="1:63" ht="12.75" hidden="1" customHeight="1" outlineLevel="1">
      <c r="A30" s="9"/>
      <c r="B30" s="46"/>
      <c r="C30" s="130">
        <f>Asset19</f>
        <v>0</v>
      </c>
      <c r="D30" s="9"/>
      <c r="E30" s="9"/>
      <c r="F30" s="142"/>
      <c r="G30" s="193">
        <f>Input!M25</f>
        <v>0</v>
      </c>
      <c r="H30" s="145"/>
      <c r="I30" s="145"/>
      <c r="J30" s="145"/>
      <c r="K30" s="145"/>
      <c r="L30" s="145"/>
      <c r="M30" s="139"/>
      <c r="N30" s="139"/>
      <c r="O30" s="139"/>
      <c r="P30" s="139"/>
      <c r="Q30" s="139"/>
      <c r="R30" s="140"/>
      <c r="S30" s="52"/>
      <c r="T30" s="140"/>
      <c r="U30" s="140"/>
      <c r="V30" s="140"/>
      <c r="W30" s="140"/>
      <c r="X30" s="140"/>
      <c r="Y30" s="140"/>
      <c r="Z30" s="140"/>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3"/>
      <c r="BK30" s="213"/>
    </row>
    <row r="31" spans="1:63" ht="12.75" hidden="1" customHeight="1" outlineLevel="1">
      <c r="A31" s="9"/>
      <c r="B31" s="46"/>
      <c r="C31" s="130">
        <f>Asset20</f>
        <v>0</v>
      </c>
      <c r="D31" s="9"/>
      <c r="E31" s="9"/>
      <c r="F31" s="142"/>
      <c r="G31" s="193">
        <f>Input!M26</f>
        <v>0</v>
      </c>
      <c r="H31" s="145"/>
      <c r="I31" s="145"/>
      <c r="J31" s="145"/>
      <c r="K31" s="145"/>
      <c r="L31" s="145"/>
      <c r="M31" s="139"/>
      <c r="N31" s="139"/>
      <c r="O31" s="139"/>
      <c r="P31" s="139"/>
      <c r="Q31" s="139"/>
      <c r="R31" s="140"/>
      <c r="S31" s="52"/>
      <c r="T31" s="140"/>
      <c r="U31" s="140"/>
      <c r="V31" s="140"/>
      <c r="W31" s="140"/>
      <c r="X31" s="140"/>
      <c r="Y31" s="140"/>
      <c r="Z31" s="140"/>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3"/>
      <c r="BK31" s="213"/>
    </row>
    <row r="32" spans="1:63" ht="12.75" hidden="1" customHeight="1" outlineLevel="1">
      <c r="A32" s="9"/>
      <c r="B32" s="46"/>
      <c r="C32" s="130">
        <f>Asset21</f>
        <v>0</v>
      </c>
      <c r="D32" s="9"/>
      <c r="E32" s="9"/>
      <c r="F32" s="142"/>
      <c r="G32" s="193">
        <f>Input!M27</f>
        <v>0</v>
      </c>
      <c r="H32" s="145"/>
      <c r="I32" s="145"/>
      <c r="J32" s="145"/>
      <c r="K32" s="145"/>
      <c r="L32" s="145"/>
      <c r="M32" s="139"/>
      <c r="N32" s="139"/>
      <c r="O32" s="139"/>
      <c r="P32" s="139"/>
      <c r="Q32" s="139"/>
      <c r="R32" s="140"/>
      <c r="S32" s="52"/>
      <c r="T32" s="140"/>
      <c r="U32" s="140"/>
      <c r="V32" s="140"/>
      <c r="W32" s="140"/>
      <c r="X32" s="140"/>
      <c r="Y32" s="140"/>
      <c r="Z32" s="140"/>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3"/>
      <c r="BK32" s="213"/>
    </row>
    <row r="33" spans="1:63" ht="12.75" hidden="1" customHeight="1" outlineLevel="1">
      <c r="A33" s="9"/>
      <c r="B33" s="46"/>
      <c r="C33" s="130">
        <f>Asset22</f>
        <v>0</v>
      </c>
      <c r="D33" s="9"/>
      <c r="E33" s="9"/>
      <c r="F33" s="142"/>
      <c r="G33" s="193">
        <f>Input!M28</f>
        <v>0</v>
      </c>
      <c r="H33" s="145"/>
      <c r="I33" s="145"/>
      <c r="J33" s="145"/>
      <c r="K33" s="145"/>
      <c r="L33" s="145"/>
      <c r="M33" s="139"/>
      <c r="N33" s="139"/>
      <c r="O33" s="139"/>
      <c r="P33" s="139"/>
      <c r="Q33" s="139"/>
      <c r="R33" s="140"/>
      <c r="S33" s="52"/>
      <c r="T33" s="140"/>
      <c r="U33" s="140"/>
      <c r="V33" s="140"/>
      <c r="W33" s="140"/>
      <c r="X33" s="140"/>
      <c r="Y33" s="140"/>
      <c r="Z33" s="140"/>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3"/>
      <c r="BK33" s="213"/>
    </row>
    <row r="34" spans="1:63" ht="12.75" hidden="1" customHeight="1" outlineLevel="1">
      <c r="A34" s="9"/>
      <c r="B34" s="46"/>
      <c r="C34" s="130">
        <f>Asset23</f>
        <v>0</v>
      </c>
      <c r="D34" s="9"/>
      <c r="E34" s="9"/>
      <c r="F34" s="142"/>
      <c r="G34" s="193">
        <f>Input!M29</f>
        <v>0</v>
      </c>
      <c r="H34" s="145"/>
      <c r="I34" s="145"/>
      <c r="J34" s="145"/>
      <c r="K34" s="145"/>
      <c r="L34" s="145"/>
      <c r="M34" s="139"/>
      <c r="N34" s="139"/>
      <c r="O34" s="139"/>
      <c r="P34" s="139"/>
      <c r="Q34" s="139"/>
      <c r="R34" s="140"/>
      <c r="S34" s="52"/>
      <c r="T34" s="140"/>
      <c r="U34" s="140"/>
      <c r="V34" s="140"/>
      <c r="W34" s="140"/>
      <c r="X34" s="140"/>
      <c r="Y34" s="140"/>
      <c r="Z34" s="140"/>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3"/>
      <c r="BK34" s="213"/>
    </row>
    <row r="35" spans="1:63" ht="12.75" hidden="1" customHeight="1" outlineLevel="1">
      <c r="A35" s="9"/>
      <c r="B35" s="46"/>
      <c r="C35" s="130">
        <f>Asset24</f>
        <v>0</v>
      </c>
      <c r="D35" s="9"/>
      <c r="E35" s="9"/>
      <c r="F35" s="142"/>
      <c r="G35" s="193">
        <f>Input!M30</f>
        <v>0</v>
      </c>
      <c r="H35" s="145"/>
      <c r="I35" s="145"/>
      <c r="J35" s="145"/>
      <c r="K35" s="145"/>
      <c r="L35" s="145"/>
      <c r="M35" s="139"/>
      <c r="N35" s="139"/>
      <c r="O35" s="139"/>
      <c r="P35" s="139"/>
      <c r="Q35" s="139"/>
      <c r="R35" s="140"/>
      <c r="S35" s="52"/>
      <c r="T35" s="140"/>
      <c r="U35" s="140"/>
      <c r="V35" s="140"/>
      <c r="W35" s="140"/>
      <c r="X35" s="140"/>
      <c r="Y35" s="140"/>
      <c r="Z35" s="140"/>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3"/>
      <c r="BK35" s="213"/>
    </row>
    <row r="36" spans="1:63" ht="12.75" hidden="1" customHeight="1" outlineLevel="1">
      <c r="A36" s="9"/>
      <c r="B36" s="46"/>
      <c r="C36" s="130">
        <f>Asset25</f>
        <v>0</v>
      </c>
      <c r="D36" s="9"/>
      <c r="E36" s="9"/>
      <c r="F36" s="142"/>
      <c r="G36" s="193">
        <f>Input!M31</f>
        <v>0</v>
      </c>
      <c r="H36" s="145"/>
      <c r="I36" s="145"/>
      <c r="J36" s="145"/>
      <c r="K36" s="145"/>
      <c r="L36" s="145"/>
      <c r="M36" s="139"/>
      <c r="N36" s="139"/>
      <c r="O36" s="139"/>
      <c r="P36" s="139"/>
      <c r="Q36" s="139"/>
      <c r="R36" s="140"/>
      <c r="S36" s="52"/>
      <c r="T36" s="140"/>
      <c r="U36" s="140"/>
      <c r="V36" s="140"/>
      <c r="W36" s="140"/>
      <c r="X36" s="140"/>
      <c r="Y36" s="140"/>
      <c r="Z36" s="140"/>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3"/>
      <c r="BK36" s="213"/>
    </row>
    <row r="37" spans="1:63" ht="12.75" hidden="1" customHeight="1" outlineLevel="1">
      <c r="A37" s="9"/>
      <c r="B37" s="46"/>
      <c r="C37" s="130">
        <f>Asset26</f>
        <v>0</v>
      </c>
      <c r="D37" s="9"/>
      <c r="E37" s="9"/>
      <c r="F37" s="142"/>
      <c r="G37" s="193">
        <f>Input!M32</f>
        <v>0</v>
      </c>
      <c r="H37" s="145"/>
      <c r="I37" s="145"/>
      <c r="J37" s="145"/>
      <c r="K37" s="145"/>
      <c r="L37" s="145"/>
      <c r="M37" s="139"/>
      <c r="N37" s="139"/>
      <c r="O37" s="139"/>
      <c r="P37" s="139"/>
      <c r="Q37" s="139"/>
      <c r="R37" s="140"/>
      <c r="S37" s="52"/>
      <c r="T37" s="140"/>
      <c r="U37" s="140"/>
      <c r="V37" s="140"/>
      <c r="W37" s="140"/>
      <c r="X37" s="140"/>
      <c r="Y37" s="140"/>
      <c r="Z37" s="140"/>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3"/>
      <c r="BK37" s="213"/>
    </row>
    <row r="38" spans="1:63" ht="12.75" hidden="1" customHeight="1" outlineLevel="1">
      <c r="A38" s="9"/>
      <c r="B38" s="46"/>
      <c r="C38" s="130">
        <f>Asset27</f>
        <v>0</v>
      </c>
      <c r="D38" s="9"/>
      <c r="E38" s="9"/>
      <c r="F38" s="142"/>
      <c r="G38" s="193">
        <f>Input!M33</f>
        <v>0</v>
      </c>
      <c r="H38" s="145"/>
      <c r="I38" s="145"/>
      <c r="J38" s="145"/>
      <c r="K38" s="145"/>
      <c r="L38" s="145"/>
      <c r="M38" s="139"/>
      <c r="N38" s="139"/>
      <c r="O38" s="139"/>
      <c r="P38" s="139"/>
      <c r="Q38" s="139"/>
      <c r="R38" s="140"/>
      <c r="S38" s="52"/>
      <c r="T38" s="140"/>
      <c r="U38" s="140"/>
      <c r="V38" s="140"/>
      <c r="W38" s="140"/>
      <c r="X38" s="140"/>
      <c r="Y38" s="140"/>
      <c r="Z38" s="140"/>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3"/>
      <c r="BK38" s="213"/>
    </row>
    <row r="39" spans="1:63" ht="12.75" hidden="1" customHeight="1" outlineLevel="1">
      <c r="A39" s="9"/>
      <c r="B39" s="46"/>
      <c r="C39" s="130">
        <f>Asset28</f>
        <v>0</v>
      </c>
      <c r="D39" s="9"/>
      <c r="E39" s="9"/>
      <c r="F39" s="142"/>
      <c r="G39" s="193">
        <f>Input!M34</f>
        <v>0</v>
      </c>
      <c r="H39" s="145"/>
      <c r="I39" s="145"/>
      <c r="J39" s="145"/>
      <c r="K39" s="145"/>
      <c r="L39" s="145"/>
      <c r="M39" s="139"/>
      <c r="N39" s="139"/>
      <c r="O39" s="139"/>
      <c r="P39" s="139"/>
      <c r="Q39" s="139"/>
      <c r="R39" s="140"/>
      <c r="S39" s="52"/>
      <c r="T39" s="140"/>
      <c r="U39" s="140"/>
      <c r="V39" s="140"/>
      <c r="W39" s="140"/>
      <c r="X39" s="140"/>
      <c r="Y39" s="140"/>
      <c r="Z39" s="140"/>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3"/>
      <c r="BK39" s="213"/>
    </row>
    <row r="40" spans="1:63" ht="12.75" hidden="1" customHeight="1" outlineLevel="1">
      <c r="A40" s="9"/>
      <c r="B40" s="46"/>
      <c r="C40" s="130">
        <f>Asset29</f>
        <v>0</v>
      </c>
      <c r="D40" s="9"/>
      <c r="E40" s="9"/>
      <c r="F40" s="142"/>
      <c r="G40" s="193">
        <f>Input!M35</f>
        <v>0</v>
      </c>
      <c r="H40" s="145"/>
      <c r="I40" s="145"/>
      <c r="J40" s="145"/>
      <c r="K40" s="145"/>
      <c r="L40" s="145"/>
      <c r="M40" s="139"/>
      <c r="N40" s="139"/>
      <c r="O40" s="139"/>
      <c r="P40" s="139"/>
      <c r="Q40" s="139"/>
      <c r="R40" s="140"/>
      <c r="S40" s="52"/>
      <c r="T40" s="140"/>
      <c r="U40" s="140"/>
      <c r="V40" s="140"/>
      <c r="W40" s="140"/>
      <c r="X40" s="140"/>
      <c r="Y40" s="140"/>
      <c r="Z40" s="140"/>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3"/>
      <c r="BK40" s="213"/>
    </row>
    <row r="41" spans="1:63" ht="12.75" hidden="1" customHeight="1" outlineLevel="1">
      <c r="A41" s="9"/>
      <c r="B41" s="46"/>
      <c r="C41" s="130">
        <f>Asset30</f>
        <v>0</v>
      </c>
      <c r="D41" s="9"/>
      <c r="E41" s="9"/>
      <c r="F41" s="142"/>
      <c r="G41" s="193">
        <f>Input!M36</f>
        <v>0</v>
      </c>
      <c r="H41" s="145"/>
      <c r="I41" s="145"/>
      <c r="J41" s="145"/>
      <c r="K41" s="145"/>
      <c r="L41" s="145"/>
      <c r="M41" s="139"/>
      <c r="N41" s="139"/>
      <c r="O41" s="139"/>
      <c r="P41" s="139"/>
      <c r="Q41" s="139"/>
      <c r="R41" s="140"/>
      <c r="S41" s="52"/>
      <c r="T41" s="140"/>
      <c r="U41" s="140"/>
      <c r="V41" s="140"/>
      <c r="W41" s="140"/>
      <c r="X41" s="140"/>
      <c r="Y41" s="140"/>
      <c r="Z41" s="140"/>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3"/>
      <c r="BK41" s="213"/>
    </row>
    <row r="42" spans="1:63" collapsed="1">
      <c r="A42" s="9"/>
      <c r="B42" s="46"/>
      <c r="C42" s="130"/>
      <c r="D42" s="9"/>
      <c r="E42" s="9"/>
      <c r="F42" s="142"/>
      <c r="G42" s="193"/>
      <c r="H42" s="145"/>
      <c r="I42" s="145"/>
      <c r="J42" s="145"/>
      <c r="K42" s="145"/>
      <c r="L42" s="145"/>
      <c r="M42" s="139"/>
      <c r="N42" s="139"/>
      <c r="O42" s="139"/>
      <c r="P42" s="139"/>
      <c r="Q42" s="139"/>
      <c r="R42" s="140"/>
      <c r="S42" s="12"/>
      <c r="T42" s="140"/>
      <c r="U42" s="140"/>
      <c r="V42" s="140"/>
      <c r="W42" s="140"/>
      <c r="X42" s="140"/>
      <c r="Y42" s="140"/>
      <c r="Z42" s="140"/>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3"/>
      <c r="BK42" s="213"/>
    </row>
    <row r="43" spans="1:63">
      <c r="A43" s="9"/>
      <c r="B43" s="46" t="s">
        <v>36</v>
      </c>
      <c r="C43" s="9"/>
      <c r="D43" s="9"/>
      <c r="E43" s="9"/>
      <c r="F43" s="9"/>
      <c r="G43" s="192">
        <f>SUM(G44:G73)</f>
        <v>104.39207518941173</v>
      </c>
      <c r="H43" s="141"/>
      <c r="I43" s="141"/>
      <c r="J43" s="141"/>
      <c r="K43" s="141"/>
      <c r="L43" s="141"/>
      <c r="M43" s="141"/>
      <c r="N43" s="139"/>
      <c r="O43" s="139"/>
      <c r="P43" s="139"/>
      <c r="Q43" s="139"/>
      <c r="R43" s="140"/>
      <c r="S43" s="140"/>
      <c r="T43" s="140"/>
      <c r="U43" s="140"/>
      <c r="V43" s="140"/>
      <c r="W43" s="140"/>
      <c r="X43" s="140"/>
      <c r="Y43" s="140"/>
      <c r="Z43" s="140"/>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3"/>
      <c r="BK43" s="213"/>
    </row>
    <row r="44" spans="1:63" ht="12.75" hidden="1" customHeight="1" outlineLevel="1">
      <c r="A44" s="9"/>
      <c r="B44" s="9"/>
      <c r="C44" s="130" t="str">
        <f>Asset1</f>
        <v>Subtransmission</v>
      </c>
      <c r="D44" s="9"/>
      <c r="E44" s="9"/>
      <c r="F44" s="9"/>
      <c r="G44" s="328">
        <f>Input!G143*(1+previous_vanilla)^0.5</f>
        <v>33.819254913831202</v>
      </c>
      <c r="H44" s="112"/>
      <c r="I44" s="112"/>
      <c r="J44" s="112"/>
      <c r="K44" s="112"/>
      <c r="L44" s="112"/>
      <c r="M44" s="112"/>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t="12.75" hidden="1" customHeight="1" outlineLevel="1">
      <c r="A45" s="9"/>
      <c r="B45" s="46"/>
      <c r="C45" s="130" t="str">
        <f>Asset2</f>
        <v>Distribution system assets</v>
      </c>
      <c r="D45" s="9"/>
      <c r="E45" s="9"/>
      <c r="F45" s="142"/>
      <c r="G45" s="328">
        <f>Input!G144*(1+previous_vanilla)^0.5</f>
        <v>64.069521481140939</v>
      </c>
      <c r="H45" s="112"/>
      <c r="I45" s="112"/>
      <c r="J45" s="112"/>
      <c r="K45" s="112"/>
      <c r="L45" s="112"/>
      <c r="M45" s="112"/>
      <c r="N45" s="29"/>
      <c r="O45" s="29"/>
      <c r="P45" s="29"/>
      <c r="Q45" s="29"/>
      <c r="R45" s="101"/>
      <c r="S45" s="101"/>
      <c r="T45" s="101"/>
      <c r="U45" s="101"/>
      <c r="V45" s="101"/>
      <c r="W45" s="101"/>
      <c r="X45" s="101"/>
      <c r="Y45" s="101"/>
      <c r="Z45" s="101"/>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13"/>
      <c r="BK45" s="213"/>
    </row>
    <row r="46" spans="1:63" ht="12.75" hidden="1" customHeight="1" outlineLevel="1">
      <c r="A46" s="9"/>
      <c r="B46" s="46"/>
      <c r="C46" s="130" t="str">
        <f>Asset3</f>
        <v>Standard metering</v>
      </c>
      <c r="D46" s="9"/>
      <c r="E46" s="9"/>
      <c r="F46" s="142"/>
      <c r="G46" s="328">
        <f>Input!G145*(1+previous_vanilla)^0.5</f>
        <v>0</v>
      </c>
      <c r="H46" s="112"/>
      <c r="I46" s="112"/>
      <c r="J46" s="112"/>
      <c r="K46" s="112"/>
      <c r="L46" s="112"/>
      <c r="M46" s="112"/>
      <c r="N46" s="29"/>
      <c r="O46" s="29"/>
      <c r="P46" s="29"/>
      <c r="Q46" s="29"/>
      <c r="R46" s="101"/>
      <c r="S46" s="101"/>
      <c r="T46" s="101"/>
      <c r="U46" s="101"/>
      <c r="V46" s="101"/>
      <c r="W46" s="101"/>
      <c r="X46" s="101"/>
      <c r="Y46" s="101"/>
      <c r="Z46" s="101"/>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13"/>
      <c r="BK46" s="213"/>
    </row>
    <row r="47" spans="1:63" ht="12.75" hidden="1" customHeight="1" outlineLevel="1">
      <c r="A47" s="9"/>
      <c r="B47" s="46"/>
      <c r="C47" s="130" t="str">
        <f>Asset4</f>
        <v>Public lighting</v>
      </c>
      <c r="D47" s="9"/>
      <c r="E47" s="9"/>
      <c r="F47" s="142"/>
      <c r="G47" s="328">
        <f>Input!G146*(1+previous_vanilla)^0.5</f>
        <v>0</v>
      </c>
      <c r="H47" s="112"/>
      <c r="I47" s="112"/>
      <c r="J47" s="112"/>
      <c r="K47" s="112"/>
      <c r="L47" s="112"/>
      <c r="M47" s="112"/>
      <c r="N47" s="29"/>
      <c r="O47" s="29"/>
      <c r="P47" s="29"/>
      <c r="Q47" s="29"/>
      <c r="R47" s="101"/>
      <c r="S47" s="101"/>
      <c r="T47" s="101"/>
      <c r="U47" s="101"/>
      <c r="V47" s="101"/>
      <c r="W47" s="101"/>
      <c r="X47" s="101"/>
      <c r="Y47" s="101"/>
      <c r="Z47" s="101"/>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13"/>
      <c r="BK47" s="213"/>
    </row>
    <row r="48" spans="1:63" ht="12.75" hidden="1" customHeight="1" outlineLevel="1">
      <c r="A48" s="9"/>
      <c r="B48" s="46"/>
      <c r="C48" s="130" t="str">
        <f>Asset5</f>
        <v>SCADA/Network control</v>
      </c>
      <c r="D48" s="9"/>
      <c r="E48" s="9"/>
      <c r="F48" s="142"/>
      <c r="G48" s="328">
        <f>Input!G147*(1+previous_vanilla)^0.5</f>
        <v>0.79555182538509217</v>
      </c>
      <c r="H48" s="112"/>
      <c r="I48" s="112"/>
      <c r="J48" s="112"/>
      <c r="K48" s="112"/>
      <c r="L48" s="112"/>
      <c r="M48" s="112"/>
      <c r="N48" s="29"/>
      <c r="O48" s="29"/>
      <c r="P48" s="29"/>
      <c r="Q48" s="29"/>
      <c r="R48" s="101"/>
      <c r="S48" s="101"/>
      <c r="T48" s="101"/>
      <c r="U48" s="101"/>
      <c r="V48" s="101"/>
      <c r="W48" s="101"/>
      <c r="X48" s="101"/>
      <c r="Y48" s="101"/>
      <c r="Z48" s="101"/>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13"/>
      <c r="BK48" s="213"/>
    </row>
    <row r="49" spans="1:63" ht="12.75" hidden="1" customHeight="1" outlineLevel="1">
      <c r="A49" s="9"/>
      <c r="B49" s="46"/>
      <c r="C49" s="130" t="str">
        <f>Asset6</f>
        <v>Non-network general assets - IT</v>
      </c>
      <c r="D49" s="9"/>
      <c r="E49" s="9"/>
      <c r="F49" s="142"/>
      <c r="G49" s="328">
        <f>Input!G148*(1+previous_vanilla)^0.5</f>
        <v>4.575097406073624</v>
      </c>
      <c r="H49" s="112"/>
      <c r="I49" s="112"/>
      <c r="J49" s="112"/>
      <c r="K49" s="112"/>
      <c r="L49" s="112"/>
      <c r="M49" s="112"/>
      <c r="N49" s="29"/>
      <c r="O49" s="29"/>
      <c r="P49" s="29"/>
      <c r="Q49" s="29"/>
      <c r="R49" s="101"/>
      <c r="S49" s="101"/>
      <c r="T49" s="101"/>
      <c r="U49" s="101"/>
      <c r="V49" s="101"/>
      <c r="W49" s="101"/>
      <c r="X49" s="101"/>
      <c r="Y49" s="101"/>
      <c r="Z49" s="101"/>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13"/>
      <c r="BK49" s="213"/>
    </row>
    <row r="50" spans="1:63" ht="12.75" hidden="1" customHeight="1" outlineLevel="1">
      <c r="A50" s="9"/>
      <c r="B50" s="46"/>
      <c r="C50" s="130" t="str">
        <f>Asset7</f>
        <v>Non-network general assets - Other</v>
      </c>
      <c r="D50" s="9"/>
      <c r="E50" s="9"/>
      <c r="F50" s="142"/>
      <c r="G50" s="328">
        <f>Input!G149*(1+previous_vanilla)^0.5</f>
        <v>1.1326495629808719</v>
      </c>
      <c r="H50" s="112"/>
      <c r="I50" s="112"/>
      <c r="J50" s="112"/>
      <c r="K50" s="112"/>
      <c r="L50" s="112"/>
      <c r="M50" s="112"/>
      <c r="N50" s="29"/>
      <c r="O50" s="29"/>
      <c r="P50" s="29"/>
      <c r="Q50" s="29"/>
      <c r="R50" s="101"/>
      <c r="S50" s="101"/>
      <c r="T50" s="101"/>
      <c r="U50" s="101"/>
      <c r="V50" s="101"/>
      <c r="W50" s="101"/>
      <c r="X50" s="101"/>
      <c r="Y50" s="101"/>
      <c r="Z50" s="101"/>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13"/>
      <c r="BK50" s="213"/>
    </row>
    <row r="51" spans="1:63" ht="12.75" hidden="1" customHeight="1" outlineLevel="1">
      <c r="A51" s="9"/>
      <c r="B51" s="46"/>
      <c r="C51" s="130" t="str">
        <f>Asset8</f>
        <v>VBRC</v>
      </c>
      <c r="D51" s="9"/>
      <c r="E51" s="9"/>
      <c r="F51" s="142"/>
      <c r="G51" s="328">
        <f>Input!G150*(1+previous_vanilla)^0.5</f>
        <v>0</v>
      </c>
      <c r="H51" s="112"/>
      <c r="I51" s="112"/>
      <c r="J51" s="112"/>
      <c r="K51" s="112"/>
      <c r="L51" s="112"/>
      <c r="M51" s="112"/>
      <c r="N51" s="29"/>
      <c r="O51" s="29"/>
      <c r="P51" s="29"/>
      <c r="Q51" s="29"/>
      <c r="R51" s="101"/>
      <c r="S51" s="101"/>
      <c r="T51" s="101"/>
      <c r="U51" s="101"/>
      <c r="V51" s="101"/>
      <c r="W51" s="101"/>
      <c r="X51" s="101"/>
      <c r="Y51" s="101"/>
      <c r="Z51" s="101"/>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13"/>
      <c r="BK51" s="213"/>
    </row>
    <row r="52" spans="1:63" ht="12.75" hidden="1" customHeight="1" outlineLevel="1">
      <c r="A52" s="9"/>
      <c r="B52" s="46"/>
      <c r="C52" s="130" t="str">
        <f>Asset9</f>
        <v>Equity raising</v>
      </c>
      <c r="D52" s="9"/>
      <c r="E52" s="9"/>
      <c r="F52" s="142"/>
      <c r="G52" s="328">
        <f>Input!G151*(1+previous_vanilla)^0.5</f>
        <v>0</v>
      </c>
      <c r="H52" s="112"/>
      <c r="I52" s="112"/>
      <c r="J52" s="112"/>
      <c r="K52" s="112"/>
      <c r="L52" s="112"/>
      <c r="M52" s="112"/>
      <c r="N52" s="29"/>
      <c r="O52" s="29"/>
      <c r="P52" s="29"/>
      <c r="Q52" s="29"/>
      <c r="R52" s="101"/>
      <c r="S52" s="101"/>
      <c r="T52" s="101"/>
      <c r="U52" s="101"/>
      <c r="V52" s="101"/>
      <c r="W52" s="101"/>
      <c r="X52" s="101"/>
      <c r="Y52" s="101"/>
      <c r="Z52" s="101"/>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13"/>
      <c r="BK52" s="213"/>
    </row>
    <row r="53" spans="1:63" ht="12.75" hidden="1" customHeight="1" outlineLevel="1">
      <c r="A53" s="9"/>
      <c r="B53" s="46"/>
      <c r="C53" s="130">
        <f>Asset10</f>
        <v>0</v>
      </c>
      <c r="D53" s="9"/>
      <c r="E53" s="9"/>
      <c r="F53" s="142"/>
      <c r="G53" s="328">
        <f>Input!G152*(1+previous_vanilla)^0.5</f>
        <v>0</v>
      </c>
      <c r="H53" s="112"/>
      <c r="I53" s="112"/>
      <c r="J53" s="112"/>
      <c r="K53" s="112"/>
      <c r="L53" s="112"/>
      <c r="M53" s="112"/>
      <c r="N53" s="29"/>
      <c r="O53" s="29"/>
      <c r="P53" s="29"/>
      <c r="Q53" s="29"/>
      <c r="R53" s="101"/>
      <c r="S53" s="101"/>
      <c r="T53" s="101"/>
      <c r="U53" s="101"/>
      <c r="V53" s="101"/>
      <c r="W53" s="101"/>
      <c r="X53" s="101"/>
      <c r="Y53" s="101"/>
      <c r="Z53" s="101"/>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13"/>
      <c r="BK53" s="213"/>
    </row>
    <row r="54" spans="1:63" ht="12.75" hidden="1" customHeight="1" outlineLevel="1">
      <c r="A54" s="9"/>
      <c r="B54" s="46"/>
      <c r="C54" s="130">
        <f>Asset11</f>
        <v>0</v>
      </c>
      <c r="D54" s="9"/>
      <c r="E54" s="9"/>
      <c r="F54" s="142"/>
      <c r="G54" s="328">
        <f>Input!G153*(1+previous_vanilla)^0.5</f>
        <v>0</v>
      </c>
      <c r="H54" s="112"/>
      <c r="I54" s="112"/>
      <c r="J54" s="112"/>
      <c r="K54" s="112"/>
      <c r="L54" s="112"/>
      <c r="M54" s="112"/>
      <c r="N54" s="29"/>
      <c r="O54" s="29"/>
      <c r="P54" s="29"/>
      <c r="Q54" s="29"/>
      <c r="R54" s="101"/>
      <c r="S54" s="101"/>
      <c r="T54" s="101"/>
      <c r="U54" s="101"/>
      <c r="V54" s="101"/>
      <c r="W54" s="101"/>
      <c r="X54" s="101"/>
      <c r="Y54" s="101"/>
      <c r="Z54" s="101"/>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13"/>
      <c r="BK54" s="213"/>
    </row>
    <row r="55" spans="1:63" ht="12.75" hidden="1" customHeight="1" outlineLevel="1">
      <c r="A55" s="9"/>
      <c r="B55" s="46"/>
      <c r="C55" s="130">
        <f>Asset12</f>
        <v>0</v>
      </c>
      <c r="D55" s="9"/>
      <c r="E55" s="9"/>
      <c r="F55" s="142"/>
      <c r="G55" s="328">
        <f>Input!G154*(1+previous_vanilla)^0.5</f>
        <v>0</v>
      </c>
      <c r="H55" s="112"/>
      <c r="I55" s="112"/>
      <c r="J55" s="112"/>
      <c r="K55" s="112"/>
      <c r="L55" s="112"/>
      <c r="M55" s="112"/>
      <c r="N55" s="29"/>
      <c r="O55" s="29"/>
      <c r="P55" s="29"/>
      <c r="Q55" s="29"/>
      <c r="R55" s="101"/>
      <c r="S55" s="101"/>
      <c r="T55" s="101"/>
      <c r="U55" s="101"/>
      <c r="V55" s="101"/>
      <c r="W55" s="101"/>
      <c r="X55" s="101"/>
      <c r="Y55" s="101"/>
      <c r="Z55" s="101"/>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13"/>
      <c r="BK55" s="213"/>
    </row>
    <row r="56" spans="1:63" ht="12.75" hidden="1" customHeight="1" outlineLevel="1">
      <c r="A56" s="9"/>
      <c r="B56" s="46"/>
      <c r="C56" s="130">
        <f>Asset13</f>
        <v>0</v>
      </c>
      <c r="D56" s="9"/>
      <c r="E56" s="9"/>
      <c r="F56" s="142"/>
      <c r="G56" s="328">
        <f>Input!G155*(1+previous_vanilla)^0.5</f>
        <v>0</v>
      </c>
      <c r="H56" s="112"/>
      <c r="I56" s="112"/>
      <c r="J56" s="112"/>
      <c r="K56" s="112"/>
      <c r="L56" s="112"/>
      <c r="M56" s="112"/>
      <c r="N56" s="29"/>
      <c r="O56" s="29"/>
      <c r="P56" s="29"/>
      <c r="Q56" s="29"/>
      <c r="R56" s="101"/>
      <c r="S56" s="101"/>
      <c r="T56" s="101"/>
      <c r="U56" s="101"/>
      <c r="V56" s="101"/>
      <c r="W56" s="101"/>
      <c r="X56" s="101"/>
      <c r="Y56" s="101"/>
      <c r="Z56" s="101"/>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13"/>
      <c r="BK56" s="213"/>
    </row>
    <row r="57" spans="1:63" ht="12.75" hidden="1" customHeight="1" outlineLevel="1">
      <c r="A57" s="9"/>
      <c r="B57" s="46"/>
      <c r="C57" s="130">
        <f>Asset14</f>
        <v>0</v>
      </c>
      <c r="D57" s="9"/>
      <c r="E57" s="9"/>
      <c r="F57" s="142"/>
      <c r="G57" s="328">
        <f>Input!G156*(1+previous_vanilla)^0.5</f>
        <v>0</v>
      </c>
      <c r="H57" s="112"/>
      <c r="I57" s="112"/>
      <c r="J57" s="112"/>
      <c r="K57" s="112"/>
      <c r="L57" s="112"/>
      <c r="M57" s="112"/>
      <c r="N57" s="29"/>
      <c r="O57" s="29"/>
      <c r="P57" s="29"/>
      <c r="Q57" s="29"/>
      <c r="R57" s="101"/>
      <c r="S57" s="101"/>
      <c r="T57" s="101"/>
      <c r="U57" s="101"/>
      <c r="V57" s="101"/>
      <c r="W57" s="101"/>
      <c r="X57" s="101"/>
      <c r="Y57" s="101"/>
      <c r="Z57" s="101"/>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13"/>
      <c r="BK57" s="213"/>
    </row>
    <row r="58" spans="1:63" ht="12.75" hidden="1" customHeight="1" outlineLevel="1">
      <c r="A58" s="9"/>
      <c r="B58" s="46"/>
      <c r="C58" s="130">
        <f>Asset15</f>
        <v>0</v>
      </c>
      <c r="D58" s="9"/>
      <c r="E58" s="9"/>
      <c r="F58" s="142"/>
      <c r="G58" s="328">
        <f>Input!G157*(1+previous_vanilla)^0.5</f>
        <v>0</v>
      </c>
      <c r="H58" s="112"/>
      <c r="I58" s="112"/>
      <c r="J58" s="112"/>
      <c r="K58" s="112"/>
      <c r="L58" s="112"/>
      <c r="M58" s="112"/>
      <c r="N58" s="29"/>
      <c r="O58" s="29"/>
      <c r="P58" s="29"/>
      <c r="Q58" s="29"/>
      <c r="R58" s="101"/>
      <c r="S58" s="101"/>
      <c r="T58" s="101"/>
      <c r="U58" s="101"/>
      <c r="V58" s="101"/>
      <c r="W58" s="101"/>
      <c r="X58" s="101"/>
      <c r="Y58" s="101"/>
      <c r="Z58" s="101"/>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13"/>
      <c r="BK58" s="213"/>
    </row>
    <row r="59" spans="1:63" ht="12.75" hidden="1" customHeight="1" outlineLevel="1">
      <c r="A59" s="9"/>
      <c r="B59" s="46"/>
      <c r="C59" s="130">
        <f>Asset16</f>
        <v>0</v>
      </c>
      <c r="D59" s="9"/>
      <c r="E59" s="9"/>
      <c r="F59" s="142"/>
      <c r="G59" s="328">
        <f>Input!G158*(1+previous_vanilla)^0.5</f>
        <v>0</v>
      </c>
      <c r="H59" s="112"/>
      <c r="I59" s="112"/>
      <c r="J59" s="112"/>
      <c r="K59" s="112"/>
      <c r="L59" s="112"/>
      <c r="M59" s="112"/>
      <c r="N59" s="29"/>
      <c r="O59" s="29"/>
      <c r="P59" s="29"/>
      <c r="Q59" s="29"/>
      <c r="R59" s="101"/>
      <c r="S59" s="101"/>
      <c r="T59" s="101"/>
      <c r="U59" s="101"/>
      <c r="V59" s="101"/>
      <c r="W59" s="101"/>
      <c r="X59" s="101"/>
      <c r="Y59" s="101"/>
      <c r="Z59" s="101"/>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13"/>
      <c r="BK59" s="213"/>
    </row>
    <row r="60" spans="1:63" ht="12.75" hidden="1" customHeight="1" outlineLevel="1">
      <c r="A60" s="9"/>
      <c r="B60" s="46"/>
      <c r="C60" s="130">
        <f>Asset17</f>
        <v>0</v>
      </c>
      <c r="D60" s="9"/>
      <c r="E60" s="9"/>
      <c r="F60" s="142"/>
      <c r="G60" s="328">
        <f>Input!G159*(1+previous_vanilla)^0.5</f>
        <v>0</v>
      </c>
      <c r="H60" s="112"/>
      <c r="I60" s="112"/>
      <c r="J60" s="112"/>
      <c r="K60" s="112"/>
      <c r="L60" s="112"/>
      <c r="M60" s="112"/>
      <c r="N60" s="29"/>
      <c r="O60" s="29"/>
      <c r="P60" s="29"/>
      <c r="Q60" s="29"/>
      <c r="R60" s="101"/>
      <c r="S60" s="101"/>
      <c r="T60" s="101"/>
      <c r="U60" s="101"/>
      <c r="V60" s="101"/>
      <c r="W60" s="101"/>
      <c r="X60" s="101"/>
      <c r="Y60" s="101"/>
      <c r="Z60" s="101"/>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13"/>
      <c r="BK60" s="213"/>
    </row>
    <row r="61" spans="1:63" ht="12.75" hidden="1" customHeight="1" outlineLevel="1">
      <c r="A61" s="9"/>
      <c r="B61" s="46"/>
      <c r="C61" s="130">
        <f>Asset18</f>
        <v>0</v>
      </c>
      <c r="D61" s="9"/>
      <c r="E61" s="9"/>
      <c r="F61" s="142"/>
      <c r="G61" s="328">
        <f>Input!G160*(1+previous_vanilla)^0.5</f>
        <v>0</v>
      </c>
      <c r="H61" s="112"/>
      <c r="I61" s="112"/>
      <c r="J61" s="112"/>
      <c r="K61" s="112"/>
      <c r="L61" s="112"/>
      <c r="M61" s="112"/>
      <c r="N61" s="29"/>
      <c r="O61" s="29"/>
      <c r="P61" s="29"/>
      <c r="Q61" s="29"/>
      <c r="R61" s="101"/>
      <c r="S61" s="101"/>
      <c r="T61" s="101"/>
      <c r="U61" s="101"/>
      <c r="V61" s="101"/>
      <c r="W61" s="101"/>
      <c r="X61" s="101"/>
      <c r="Y61" s="101"/>
      <c r="Z61" s="101"/>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13"/>
      <c r="BK61" s="213"/>
    </row>
    <row r="62" spans="1:63" ht="12.75" hidden="1" customHeight="1" outlineLevel="1">
      <c r="A62" s="9"/>
      <c r="B62" s="46"/>
      <c r="C62" s="130">
        <f>Asset19</f>
        <v>0</v>
      </c>
      <c r="D62" s="9"/>
      <c r="E62" s="9"/>
      <c r="F62" s="142"/>
      <c r="G62" s="328">
        <f>Input!G161*(1+previous_vanilla)^0.5</f>
        <v>0</v>
      </c>
      <c r="H62" s="112"/>
      <c r="I62" s="112"/>
      <c r="J62" s="112"/>
      <c r="K62" s="112"/>
      <c r="L62" s="112"/>
      <c r="M62" s="112"/>
      <c r="N62" s="29"/>
      <c r="O62" s="29"/>
      <c r="P62" s="29"/>
      <c r="Q62" s="29"/>
      <c r="R62" s="101"/>
      <c r="S62" s="101"/>
      <c r="T62" s="101"/>
      <c r="U62" s="101"/>
      <c r="V62" s="101"/>
      <c r="W62" s="101"/>
      <c r="X62" s="101"/>
      <c r="Y62" s="101"/>
      <c r="Z62" s="101"/>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13"/>
      <c r="BK62" s="213"/>
    </row>
    <row r="63" spans="1:63" ht="12.75" hidden="1" customHeight="1" outlineLevel="1">
      <c r="A63" s="9"/>
      <c r="B63" s="46"/>
      <c r="C63" s="130">
        <f>Asset20</f>
        <v>0</v>
      </c>
      <c r="D63" s="9"/>
      <c r="E63" s="9"/>
      <c r="F63" s="142"/>
      <c r="G63" s="328">
        <f>Input!G162*(1+previous_vanilla)^0.5</f>
        <v>0</v>
      </c>
      <c r="H63" s="112"/>
      <c r="I63" s="112"/>
      <c r="J63" s="112"/>
      <c r="K63" s="112"/>
      <c r="L63" s="112"/>
      <c r="M63" s="112"/>
      <c r="N63" s="29"/>
      <c r="O63" s="29"/>
      <c r="P63" s="29"/>
      <c r="Q63" s="29"/>
      <c r="R63" s="101"/>
      <c r="S63" s="101"/>
      <c r="T63" s="101"/>
      <c r="U63" s="101"/>
      <c r="V63" s="101"/>
      <c r="W63" s="101"/>
      <c r="X63" s="101"/>
      <c r="Y63" s="101"/>
      <c r="Z63" s="101"/>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13"/>
      <c r="BK63" s="213"/>
    </row>
    <row r="64" spans="1:63" ht="12.75" hidden="1" customHeight="1" outlineLevel="1">
      <c r="A64" s="9"/>
      <c r="B64" s="46"/>
      <c r="C64" s="130">
        <f>Asset21</f>
        <v>0</v>
      </c>
      <c r="D64" s="9"/>
      <c r="E64" s="9"/>
      <c r="F64" s="142"/>
      <c r="G64" s="328">
        <f>Input!G163*(1+previous_vanilla)^0.5</f>
        <v>0</v>
      </c>
      <c r="H64" s="112"/>
      <c r="I64" s="112"/>
      <c r="J64" s="112"/>
      <c r="K64" s="112"/>
      <c r="L64" s="112"/>
      <c r="M64" s="112"/>
      <c r="N64" s="29"/>
      <c r="O64" s="29"/>
      <c r="P64" s="29"/>
      <c r="Q64" s="29"/>
      <c r="R64" s="101"/>
      <c r="S64" s="101"/>
      <c r="T64" s="101"/>
      <c r="U64" s="101"/>
      <c r="V64" s="101"/>
      <c r="W64" s="101"/>
      <c r="X64" s="101"/>
      <c r="Y64" s="101"/>
      <c r="Z64" s="101"/>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13"/>
      <c r="BK64" s="213"/>
    </row>
    <row r="65" spans="1:63" ht="12.75" hidden="1" customHeight="1" outlineLevel="1">
      <c r="A65" s="9"/>
      <c r="B65" s="46"/>
      <c r="C65" s="130">
        <f>Asset22</f>
        <v>0</v>
      </c>
      <c r="D65" s="9"/>
      <c r="E65" s="9"/>
      <c r="F65" s="142"/>
      <c r="G65" s="328">
        <f>Input!G164*(1+previous_vanilla)^0.5</f>
        <v>0</v>
      </c>
      <c r="H65" s="112"/>
      <c r="I65" s="112"/>
      <c r="J65" s="112"/>
      <c r="K65" s="112"/>
      <c r="L65" s="112"/>
      <c r="M65" s="112"/>
      <c r="N65" s="29"/>
      <c r="O65" s="29"/>
      <c r="P65" s="29"/>
      <c r="Q65" s="29"/>
      <c r="R65" s="101"/>
      <c r="S65" s="101"/>
      <c r="T65" s="101"/>
      <c r="U65" s="101"/>
      <c r="V65" s="101"/>
      <c r="W65" s="101"/>
      <c r="X65" s="101"/>
      <c r="Y65" s="101"/>
      <c r="Z65" s="101"/>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13"/>
      <c r="BK65" s="213"/>
    </row>
    <row r="66" spans="1:63" ht="12.75" hidden="1" customHeight="1" outlineLevel="1">
      <c r="A66" s="9"/>
      <c r="B66" s="46"/>
      <c r="C66" s="130">
        <f>Asset23</f>
        <v>0</v>
      </c>
      <c r="D66" s="9"/>
      <c r="E66" s="9"/>
      <c r="F66" s="142"/>
      <c r="G66" s="328">
        <f>Input!G165*(1+previous_vanilla)^0.5</f>
        <v>0</v>
      </c>
      <c r="H66" s="112"/>
      <c r="I66" s="112"/>
      <c r="J66" s="112"/>
      <c r="K66" s="112"/>
      <c r="L66" s="112"/>
      <c r="M66" s="112"/>
      <c r="N66" s="29"/>
      <c r="O66" s="29"/>
      <c r="P66" s="29"/>
      <c r="Q66" s="29"/>
      <c r="R66" s="101"/>
      <c r="S66" s="101"/>
      <c r="T66" s="101"/>
      <c r="U66" s="101"/>
      <c r="V66" s="101"/>
      <c r="W66" s="101"/>
      <c r="X66" s="101"/>
      <c r="Y66" s="101"/>
      <c r="Z66" s="101"/>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13"/>
      <c r="BK66" s="213"/>
    </row>
    <row r="67" spans="1:63" ht="12.75" hidden="1" customHeight="1" outlineLevel="1">
      <c r="A67" s="9"/>
      <c r="B67" s="46"/>
      <c r="C67" s="130">
        <f>Asset24</f>
        <v>0</v>
      </c>
      <c r="D67" s="9"/>
      <c r="E67" s="9"/>
      <c r="F67" s="142"/>
      <c r="G67" s="328">
        <f>Input!G166*(1+previous_vanilla)^0.5</f>
        <v>0</v>
      </c>
      <c r="H67" s="112"/>
      <c r="I67" s="112"/>
      <c r="J67" s="112"/>
      <c r="K67" s="112"/>
      <c r="L67" s="112"/>
      <c r="M67" s="112"/>
      <c r="N67" s="29"/>
      <c r="O67" s="29"/>
      <c r="P67" s="29"/>
      <c r="Q67" s="29"/>
      <c r="R67" s="101"/>
      <c r="S67" s="101"/>
      <c r="T67" s="101"/>
      <c r="U67" s="101"/>
      <c r="V67" s="101"/>
      <c r="W67" s="101"/>
      <c r="X67" s="101"/>
      <c r="Y67" s="101"/>
      <c r="Z67" s="101"/>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13"/>
      <c r="BK67" s="213"/>
    </row>
    <row r="68" spans="1:63" ht="12.75" hidden="1" customHeight="1" outlineLevel="1">
      <c r="A68" s="9"/>
      <c r="B68" s="46"/>
      <c r="C68" s="130">
        <f>Asset25</f>
        <v>0</v>
      </c>
      <c r="D68" s="9"/>
      <c r="E68" s="9"/>
      <c r="F68" s="142"/>
      <c r="G68" s="328">
        <f>Input!G167*(1+previous_vanilla)^0.5</f>
        <v>0</v>
      </c>
      <c r="H68" s="112"/>
      <c r="I68" s="112"/>
      <c r="J68" s="112"/>
      <c r="K68" s="112"/>
      <c r="L68" s="112"/>
      <c r="M68" s="112"/>
      <c r="N68" s="29"/>
      <c r="O68" s="29"/>
      <c r="P68" s="29"/>
      <c r="Q68" s="29"/>
      <c r="R68" s="101"/>
      <c r="S68" s="101"/>
      <c r="T68" s="101"/>
      <c r="U68" s="101"/>
      <c r="V68" s="101"/>
      <c r="W68" s="101"/>
      <c r="X68" s="101"/>
      <c r="Y68" s="101"/>
      <c r="Z68" s="101"/>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13"/>
      <c r="BK68" s="213"/>
    </row>
    <row r="69" spans="1:63" ht="12.75" hidden="1" customHeight="1" outlineLevel="1">
      <c r="A69" s="9"/>
      <c r="B69" s="46"/>
      <c r="C69" s="130">
        <f>Asset26</f>
        <v>0</v>
      </c>
      <c r="D69" s="9"/>
      <c r="E69" s="9"/>
      <c r="F69" s="142"/>
      <c r="G69" s="328">
        <f>Input!G168*(1+previous_vanilla)^0.5</f>
        <v>0</v>
      </c>
      <c r="H69" s="112"/>
      <c r="I69" s="112"/>
      <c r="J69" s="112"/>
      <c r="K69" s="112"/>
      <c r="L69" s="112"/>
      <c r="M69" s="112"/>
      <c r="N69" s="29"/>
      <c r="O69" s="29"/>
      <c r="P69" s="29"/>
      <c r="Q69" s="29"/>
      <c r="R69" s="101"/>
      <c r="S69" s="101"/>
      <c r="T69" s="101"/>
      <c r="U69" s="101"/>
      <c r="V69" s="101"/>
      <c r="W69" s="101"/>
      <c r="X69" s="101"/>
      <c r="Y69" s="101"/>
      <c r="Z69" s="101"/>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13"/>
      <c r="BK69" s="213"/>
    </row>
    <row r="70" spans="1:63" ht="12.75" hidden="1" customHeight="1" outlineLevel="1">
      <c r="A70" s="9"/>
      <c r="B70" s="46"/>
      <c r="C70" s="130">
        <f>Asset27</f>
        <v>0</v>
      </c>
      <c r="D70" s="9"/>
      <c r="E70" s="9"/>
      <c r="F70" s="142"/>
      <c r="G70" s="328">
        <f>Input!G169*(1+previous_vanilla)^0.5</f>
        <v>0</v>
      </c>
      <c r="H70" s="112"/>
      <c r="I70" s="112"/>
      <c r="J70" s="112"/>
      <c r="K70" s="112"/>
      <c r="L70" s="112"/>
      <c r="M70" s="112"/>
      <c r="N70" s="29"/>
      <c r="O70" s="29"/>
      <c r="P70" s="29"/>
      <c r="Q70" s="29"/>
      <c r="R70" s="101"/>
      <c r="S70" s="101"/>
      <c r="T70" s="101"/>
      <c r="U70" s="101"/>
      <c r="V70" s="101"/>
      <c r="W70" s="101"/>
      <c r="X70" s="101"/>
      <c r="Y70" s="101"/>
      <c r="Z70" s="101"/>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13"/>
      <c r="BK70" s="213"/>
    </row>
    <row r="71" spans="1:63" ht="12.75" hidden="1" customHeight="1" outlineLevel="1">
      <c r="A71" s="9"/>
      <c r="B71" s="46"/>
      <c r="C71" s="130">
        <f>Asset28</f>
        <v>0</v>
      </c>
      <c r="D71" s="9"/>
      <c r="E71" s="9"/>
      <c r="F71" s="142"/>
      <c r="G71" s="328">
        <f>Input!G170*(1+previous_vanilla)^0.5</f>
        <v>0</v>
      </c>
      <c r="H71" s="112"/>
      <c r="I71" s="112"/>
      <c r="J71" s="112"/>
      <c r="K71" s="112"/>
      <c r="L71" s="112"/>
      <c r="M71" s="112"/>
      <c r="N71" s="29"/>
      <c r="O71" s="29"/>
      <c r="P71" s="29"/>
      <c r="Q71" s="29"/>
      <c r="R71" s="101"/>
      <c r="S71" s="101"/>
      <c r="T71" s="101"/>
      <c r="U71" s="101"/>
      <c r="V71" s="101"/>
      <c r="W71" s="101"/>
      <c r="X71" s="101"/>
      <c r="Y71" s="101"/>
      <c r="Z71" s="101"/>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13"/>
      <c r="BK71" s="213"/>
    </row>
    <row r="72" spans="1:63" ht="12.75" hidden="1" customHeight="1" outlineLevel="1">
      <c r="A72" s="9"/>
      <c r="B72" s="46"/>
      <c r="C72" s="130">
        <f>Asset29</f>
        <v>0</v>
      </c>
      <c r="D72" s="9"/>
      <c r="E72" s="9"/>
      <c r="F72" s="142"/>
      <c r="G72" s="328">
        <f>Input!G171*(1+previous_vanilla)^0.5</f>
        <v>0</v>
      </c>
      <c r="H72" s="112"/>
      <c r="I72" s="112"/>
      <c r="J72" s="112"/>
      <c r="K72" s="112"/>
      <c r="L72" s="112"/>
      <c r="M72" s="112"/>
      <c r="N72" s="29"/>
      <c r="O72" s="29"/>
      <c r="P72" s="29"/>
      <c r="Q72" s="29"/>
      <c r="R72" s="101"/>
      <c r="S72" s="101"/>
      <c r="T72" s="101"/>
      <c r="U72" s="101"/>
      <c r="V72" s="101"/>
      <c r="W72" s="101"/>
      <c r="X72" s="101"/>
      <c r="Y72" s="101"/>
      <c r="Z72" s="101"/>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13"/>
      <c r="BK72" s="213"/>
    </row>
    <row r="73" spans="1:63" ht="12.75" hidden="1" customHeight="1" outlineLevel="1">
      <c r="A73" s="9"/>
      <c r="B73" s="46"/>
      <c r="C73" s="130">
        <f>Asset30</f>
        <v>0</v>
      </c>
      <c r="D73" s="9"/>
      <c r="E73" s="9"/>
      <c r="F73" s="142"/>
      <c r="G73" s="328">
        <f>Input!G172*(1+previous_vanilla)^0.5</f>
        <v>0</v>
      </c>
      <c r="H73" s="112"/>
      <c r="I73" s="112"/>
      <c r="J73" s="112"/>
      <c r="K73" s="112"/>
      <c r="L73" s="112"/>
      <c r="M73" s="112"/>
      <c r="N73" s="29"/>
      <c r="O73" s="29"/>
      <c r="P73" s="29"/>
      <c r="Q73" s="29"/>
      <c r="R73" s="101"/>
      <c r="S73" s="101"/>
      <c r="T73" s="101"/>
      <c r="U73" s="101"/>
      <c r="V73" s="101"/>
      <c r="W73" s="101"/>
      <c r="X73" s="101"/>
      <c r="Y73" s="101"/>
      <c r="Z73" s="101"/>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13"/>
      <c r="BK73" s="213"/>
    </row>
    <row r="74" spans="1:63" collapsed="1">
      <c r="A74" s="9"/>
      <c r="B74" s="46"/>
      <c r="C74" s="114"/>
      <c r="D74" s="9"/>
      <c r="E74" s="9"/>
      <c r="F74" s="142"/>
      <c r="G74" s="194"/>
      <c r="H74" s="37"/>
      <c r="I74" s="37"/>
      <c r="J74" s="37"/>
      <c r="K74" s="37"/>
      <c r="L74" s="37"/>
      <c r="M74" s="37"/>
      <c r="N74" s="29"/>
      <c r="O74" s="29"/>
      <c r="P74" s="29"/>
      <c r="Q74" s="29"/>
      <c r="R74" s="101"/>
      <c r="S74" s="101"/>
      <c r="T74" s="101"/>
      <c r="U74" s="101"/>
      <c r="V74" s="101"/>
      <c r="W74" s="101"/>
      <c r="X74" s="101"/>
      <c r="Y74" s="101"/>
      <c r="Z74" s="101"/>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13"/>
      <c r="BK74" s="213"/>
    </row>
    <row r="75" spans="1:63">
      <c r="A75" s="9"/>
      <c r="B75" s="46" t="s">
        <v>43</v>
      </c>
      <c r="C75" s="9"/>
      <c r="D75" s="9"/>
      <c r="E75" s="9"/>
      <c r="F75" s="142"/>
      <c r="G75" s="194">
        <f>SUM(G76:G105)</f>
        <v>-21.37156254061378</v>
      </c>
      <c r="H75" s="37"/>
      <c r="I75" s="37"/>
      <c r="J75" s="37"/>
      <c r="K75" s="37"/>
      <c r="L75" s="37"/>
      <c r="M75" s="111"/>
      <c r="N75" s="29"/>
      <c r="O75" s="29"/>
      <c r="P75" s="29"/>
      <c r="Q75" s="29"/>
      <c r="R75" s="101"/>
      <c r="S75" s="101"/>
      <c r="T75" s="101"/>
      <c r="U75" s="101"/>
      <c r="V75" s="101"/>
      <c r="W75" s="101"/>
      <c r="X75" s="101"/>
      <c r="Y75" s="101"/>
      <c r="Z75" s="101"/>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13"/>
      <c r="BK75" s="213"/>
    </row>
    <row r="76" spans="1:63" ht="12.75" hidden="1" customHeight="1" outlineLevel="1">
      <c r="A76" s="9"/>
      <c r="B76" s="46"/>
      <c r="C76" s="130" t="str">
        <f>Asset1</f>
        <v>Subtransmission</v>
      </c>
      <c r="D76" s="9"/>
      <c r="E76" s="9"/>
      <c r="F76" s="142"/>
      <c r="G76" s="193">
        <f>G44-G12</f>
        <v>12.630616848813304</v>
      </c>
      <c r="H76" s="117"/>
      <c r="I76" s="117"/>
      <c r="J76" s="117"/>
      <c r="K76" s="117"/>
      <c r="L76" s="117"/>
      <c r="M76" s="152"/>
      <c r="N76" s="153"/>
      <c r="O76" s="153"/>
      <c r="P76" s="153"/>
      <c r="Q76" s="153"/>
      <c r="R76" s="101"/>
      <c r="S76" s="101"/>
      <c r="T76" s="101"/>
      <c r="U76" s="101"/>
      <c r="V76" s="101"/>
      <c r="W76" s="101"/>
      <c r="X76" s="101"/>
      <c r="Y76" s="101"/>
      <c r="Z76" s="101"/>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13"/>
      <c r="BK76" s="213"/>
    </row>
    <row r="77" spans="1:63" ht="12.75" hidden="1" customHeight="1" outlineLevel="1">
      <c r="A77" s="9"/>
      <c r="B77" s="46"/>
      <c r="C77" s="130" t="str">
        <f>Asset2</f>
        <v>Distribution system assets</v>
      </c>
      <c r="D77" s="9"/>
      <c r="E77" s="9"/>
      <c r="F77" s="142"/>
      <c r="G77" s="193">
        <f t="shared" ref="G77:G105" si="0">G45-G13</f>
        <v>-30.636305333912915</v>
      </c>
      <c r="H77" s="117"/>
      <c r="I77" s="117"/>
      <c r="J77" s="117"/>
      <c r="K77" s="117"/>
      <c r="L77" s="117"/>
      <c r="M77" s="152"/>
      <c r="N77" s="153"/>
      <c r="O77" s="153"/>
      <c r="P77" s="153"/>
      <c r="Q77" s="153"/>
      <c r="R77" s="101"/>
      <c r="S77" s="101"/>
      <c r="T77" s="101"/>
      <c r="U77" s="101"/>
      <c r="V77" s="101"/>
      <c r="W77" s="101"/>
      <c r="X77" s="101"/>
      <c r="Y77" s="101"/>
      <c r="Z77" s="101"/>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13"/>
      <c r="BK77" s="213"/>
    </row>
    <row r="78" spans="1:63" ht="12.75" hidden="1" customHeight="1" outlineLevel="1">
      <c r="A78" s="9"/>
      <c r="B78" s="46"/>
      <c r="C78" s="130" t="str">
        <f>Asset3</f>
        <v>Standard metering</v>
      </c>
      <c r="D78" s="9"/>
      <c r="E78" s="9"/>
      <c r="F78" s="142"/>
      <c r="G78" s="193">
        <f t="shared" si="0"/>
        <v>0</v>
      </c>
      <c r="H78" s="117"/>
      <c r="I78" s="117"/>
      <c r="J78" s="117"/>
      <c r="K78" s="117"/>
      <c r="L78" s="117"/>
      <c r="M78" s="152"/>
      <c r="N78" s="153"/>
      <c r="O78" s="153"/>
      <c r="P78" s="153"/>
      <c r="Q78" s="153"/>
      <c r="R78" s="101"/>
      <c r="S78" s="101"/>
      <c r="T78" s="101"/>
      <c r="U78" s="101"/>
      <c r="V78" s="101"/>
      <c r="W78" s="101"/>
      <c r="X78" s="101"/>
      <c r="Y78" s="101"/>
      <c r="Z78" s="101"/>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13"/>
      <c r="BK78" s="213"/>
    </row>
    <row r="79" spans="1:63" ht="12.75" hidden="1" customHeight="1" outlineLevel="1">
      <c r="A79" s="9"/>
      <c r="B79" s="46"/>
      <c r="C79" s="130" t="str">
        <f>Asset4</f>
        <v>Public lighting</v>
      </c>
      <c r="D79" s="9"/>
      <c r="E79" s="9"/>
      <c r="F79" s="142"/>
      <c r="G79" s="193">
        <f t="shared" si="0"/>
        <v>0</v>
      </c>
      <c r="H79" s="117"/>
      <c r="I79" s="117"/>
      <c r="J79" s="117"/>
      <c r="K79" s="117"/>
      <c r="L79" s="117"/>
      <c r="M79" s="152"/>
      <c r="N79" s="153"/>
      <c r="O79" s="153"/>
      <c r="P79" s="153"/>
      <c r="Q79" s="153"/>
      <c r="R79" s="101"/>
      <c r="S79" s="101"/>
      <c r="T79" s="101"/>
      <c r="U79" s="101"/>
      <c r="V79" s="101"/>
      <c r="W79" s="101"/>
      <c r="X79" s="101"/>
      <c r="Y79" s="101"/>
      <c r="Z79" s="101"/>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13"/>
      <c r="BK79" s="213"/>
    </row>
    <row r="80" spans="1:63" ht="12.75" hidden="1" customHeight="1" outlineLevel="1">
      <c r="A80" s="9"/>
      <c r="B80" s="46"/>
      <c r="C80" s="130" t="str">
        <f>Asset5</f>
        <v>SCADA/Network control</v>
      </c>
      <c r="D80" s="9"/>
      <c r="E80" s="9"/>
      <c r="F80" s="142"/>
      <c r="G80" s="193">
        <f t="shared" si="0"/>
        <v>-1.8582966887141208</v>
      </c>
      <c r="H80" s="117"/>
      <c r="I80" s="117"/>
      <c r="J80" s="117"/>
      <c r="K80" s="117"/>
      <c r="L80" s="117"/>
      <c r="M80" s="152"/>
      <c r="N80" s="153"/>
      <c r="O80" s="153"/>
      <c r="P80" s="153"/>
      <c r="Q80" s="153"/>
      <c r="R80" s="101"/>
      <c r="S80" s="101"/>
      <c r="T80" s="101"/>
      <c r="U80" s="101"/>
      <c r="V80" s="101"/>
      <c r="W80" s="101"/>
      <c r="X80" s="101"/>
      <c r="Y80" s="101"/>
      <c r="Z80" s="101"/>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13"/>
      <c r="BK80" s="213"/>
    </row>
    <row r="81" spans="1:63" ht="12.75" hidden="1" customHeight="1" outlineLevel="1">
      <c r="A81" s="9"/>
      <c r="B81" s="46"/>
      <c r="C81" s="130" t="str">
        <f>Asset6</f>
        <v>Non-network general assets - IT</v>
      </c>
      <c r="D81" s="9"/>
      <c r="E81" s="9"/>
      <c r="F81" s="142"/>
      <c r="G81" s="193">
        <f t="shared" si="0"/>
        <v>-0.40863086109819413</v>
      </c>
      <c r="H81" s="117"/>
      <c r="I81" s="117"/>
      <c r="J81" s="117"/>
      <c r="K81" s="117"/>
      <c r="L81" s="117"/>
      <c r="M81" s="152"/>
      <c r="N81" s="153"/>
      <c r="O81" s="153"/>
      <c r="P81" s="153"/>
      <c r="Q81" s="153"/>
      <c r="R81" s="101"/>
      <c r="S81" s="101"/>
      <c r="T81" s="101"/>
      <c r="U81" s="101"/>
      <c r="V81" s="101"/>
      <c r="W81" s="101"/>
      <c r="X81" s="101"/>
      <c r="Y81" s="101"/>
      <c r="Z81" s="101"/>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13"/>
      <c r="BK81" s="213"/>
    </row>
    <row r="82" spans="1:63" ht="12.75" hidden="1" customHeight="1" outlineLevel="1">
      <c r="A82" s="9"/>
      <c r="B82" s="46"/>
      <c r="C82" s="130" t="str">
        <f>Asset7</f>
        <v>Non-network general assets - Other</v>
      </c>
      <c r="D82" s="9"/>
      <c r="E82" s="9"/>
      <c r="F82" s="142"/>
      <c r="G82" s="193">
        <f t="shared" si="0"/>
        <v>-1.0989465057018535</v>
      </c>
      <c r="H82" s="117"/>
      <c r="I82" s="117"/>
      <c r="J82" s="117"/>
      <c r="K82" s="117"/>
      <c r="L82" s="117"/>
      <c r="M82" s="152"/>
      <c r="N82" s="153"/>
      <c r="O82" s="153"/>
      <c r="P82" s="153"/>
      <c r="Q82" s="153"/>
      <c r="R82" s="101"/>
      <c r="S82" s="101"/>
      <c r="T82" s="101"/>
      <c r="U82" s="101"/>
      <c r="V82" s="101"/>
      <c r="W82" s="101"/>
      <c r="X82" s="101"/>
      <c r="Y82" s="101"/>
      <c r="Z82" s="101"/>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13"/>
      <c r="BK82" s="213"/>
    </row>
    <row r="83" spans="1:63" ht="12.75" hidden="1" customHeight="1" outlineLevel="1">
      <c r="A83" s="9"/>
      <c r="B83" s="46"/>
      <c r="C83" s="130" t="str">
        <f>Asset8</f>
        <v>VBRC</v>
      </c>
      <c r="D83" s="9"/>
      <c r="E83" s="9"/>
      <c r="F83" s="142"/>
      <c r="G83" s="193">
        <f t="shared" si="0"/>
        <v>0</v>
      </c>
      <c r="H83" s="117"/>
      <c r="I83" s="117"/>
      <c r="J83" s="117"/>
      <c r="K83" s="117"/>
      <c r="L83" s="117"/>
      <c r="M83" s="152"/>
      <c r="N83" s="153"/>
      <c r="O83" s="153"/>
      <c r="P83" s="153"/>
      <c r="Q83" s="153"/>
      <c r="R83" s="101"/>
      <c r="S83" s="101"/>
      <c r="T83" s="101"/>
      <c r="U83" s="101"/>
      <c r="V83" s="101"/>
      <c r="W83" s="101"/>
      <c r="X83" s="101"/>
      <c r="Y83" s="101"/>
      <c r="Z83" s="101"/>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13"/>
      <c r="BK83" s="213"/>
    </row>
    <row r="84" spans="1:63" ht="12.75" hidden="1" customHeight="1" outlineLevel="1">
      <c r="A84" s="9"/>
      <c r="B84" s="46"/>
      <c r="C84" s="130" t="str">
        <f>Asset9</f>
        <v>Equity raising</v>
      </c>
      <c r="D84" s="9"/>
      <c r="E84" s="9"/>
      <c r="F84" s="142"/>
      <c r="G84" s="193">
        <f t="shared" si="0"/>
        <v>0</v>
      </c>
      <c r="H84" s="117"/>
      <c r="I84" s="117"/>
      <c r="J84" s="117"/>
      <c r="K84" s="117"/>
      <c r="L84" s="117"/>
      <c r="M84" s="152"/>
      <c r="N84" s="153"/>
      <c r="O84" s="153"/>
      <c r="P84" s="153"/>
      <c r="Q84" s="153"/>
      <c r="R84" s="101"/>
      <c r="S84" s="101"/>
      <c r="T84" s="101"/>
      <c r="U84" s="101"/>
      <c r="V84" s="101"/>
      <c r="W84" s="101"/>
      <c r="X84" s="101"/>
      <c r="Y84" s="101"/>
      <c r="Z84" s="101"/>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13"/>
      <c r="BK84" s="213"/>
    </row>
    <row r="85" spans="1:63" ht="12.75" hidden="1" customHeight="1" outlineLevel="1">
      <c r="A85" s="9"/>
      <c r="B85" s="46"/>
      <c r="C85" s="130">
        <f>Asset10</f>
        <v>0</v>
      </c>
      <c r="D85" s="9"/>
      <c r="E85" s="9"/>
      <c r="F85" s="142"/>
      <c r="G85" s="193">
        <f t="shared" si="0"/>
        <v>0</v>
      </c>
      <c r="H85" s="117"/>
      <c r="I85" s="117"/>
      <c r="J85" s="117"/>
      <c r="K85" s="117"/>
      <c r="L85" s="117"/>
      <c r="M85" s="152"/>
      <c r="N85" s="153"/>
      <c r="O85" s="153"/>
      <c r="P85" s="153"/>
      <c r="Q85" s="153"/>
      <c r="R85" s="101"/>
      <c r="S85" s="101"/>
      <c r="T85" s="101"/>
      <c r="U85" s="101"/>
      <c r="V85" s="101"/>
      <c r="W85" s="101"/>
      <c r="X85" s="101"/>
      <c r="Y85" s="101"/>
      <c r="Z85" s="101"/>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13"/>
      <c r="BK85" s="213"/>
    </row>
    <row r="86" spans="1:63" ht="12.75" hidden="1" customHeight="1" outlineLevel="1">
      <c r="A86" s="9"/>
      <c r="B86" s="46"/>
      <c r="C86" s="130">
        <f>Asset11</f>
        <v>0</v>
      </c>
      <c r="D86" s="9"/>
      <c r="E86" s="9"/>
      <c r="F86" s="142"/>
      <c r="G86" s="193">
        <f t="shared" si="0"/>
        <v>0</v>
      </c>
      <c r="H86" s="117"/>
      <c r="I86" s="117"/>
      <c r="J86" s="117"/>
      <c r="K86" s="117"/>
      <c r="L86" s="117"/>
      <c r="M86" s="152"/>
      <c r="N86" s="153"/>
      <c r="O86" s="153"/>
      <c r="P86" s="153"/>
      <c r="Q86" s="153"/>
      <c r="R86" s="101"/>
      <c r="S86" s="101"/>
      <c r="T86" s="101"/>
      <c r="U86" s="101"/>
      <c r="V86" s="101"/>
      <c r="W86" s="101"/>
      <c r="X86" s="101"/>
      <c r="Y86" s="101"/>
      <c r="Z86" s="101"/>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13"/>
      <c r="BK86" s="213"/>
    </row>
    <row r="87" spans="1:63" ht="12.75" hidden="1" customHeight="1" outlineLevel="1">
      <c r="A87" s="9"/>
      <c r="B87" s="46"/>
      <c r="C87" s="130">
        <f>Asset12</f>
        <v>0</v>
      </c>
      <c r="D87" s="9"/>
      <c r="E87" s="9"/>
      <c r="F87" s="142"/>
      <c r="G87" s="193">
        <f t="shared" si="0"/>
        <v>0</v>
      </c>
      <c r="H87" s="117"/>
      <c r="I87" s="117"/>
      <c r="J87" s="117"/>
      <c r="K87" s="117"/>
      <c r="L87" s="117"/>
      <c r="M87" s="152"/>
      <c r="N87" s="153"/>
      <c r="O87" s="153"/>
      <c r="P87" s="153"/>
      <c r="Q87" s="153"/>
      <c r="R87" s="101"/>
      <c r="S87" s="101"/>
      <c r="T87" s="101"/>
      <c r="U87" s="101"/>
      <c r="V87" s="101"/>
      <c r="W87" s="101"/>
      <c r="X87" s="101"/>
      <c r="Y87" s="101"/>
      <c r="Z87" s="101"/>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13"/>
      <c r="BK87" s="213"/>
    </row>
    <row r="88" spans="1:63" ht="12.75" hidden="1" customHeight="1" outlineLevel="1">
      <c r="A88" s="9"/>
      <c r="B88" s="46"/>
      <c r="C88" s="130">
        <f>Asset13</f>
        <v>0</v>
      </c>
      <c r="D88" s="9"/>
      <c r="E88" s="9"/>
      <c r="F88" s="142"/>
      <c r="G88" s="193">
        <f t="shared" si="0"/>
        <v>0</v>
      </c>
      <c r="H88" s="117"/>
      <c r="I88" s="117"/>
      <c r="J88" s="117"/>
      <c r="K88" s="117"/>
      <c r="L88" s="117"/>
      <c r="M88" s="152"/>
      <c r="N88" s="153"/>
      <c r="O88" s="153"/>
      <c r="P88" s="153"/>
      <c r="Q88" s="153"/>
      <c r="R88" s="101"/>
      <c r="S88" s="101"/>
      <c r="T88" s="101"/>
      <c r="U88" s="101"/>
      <c r="V88" s="101"/>
      <c r="W88" s="101"/>
      <c r="X88" s="101"/>
      <c r="Y88" s="101"/>
      <c r="Z88" s="101"/>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13"/>
      <c r="BK88" s="213"/>
    </row>
    <row r="89" spans="1:63" ht="12.75" hidden="1" customHeight="1" outlineLevel="1">
      <c r="A89" s="9"/>
      <c r="B89" s="46"/>
      <c r="C89" s="130">
        <f>Asset14</f>
        <v>0</v>
      </c>
      <c r="D89" s="9"/>
      <c r="E89" s="9"/>
      <c r="F89" s="142"/>
      <c r="G89" s="193">
        <f t="shared" si="0"/>
        <v>0</v>
      </c>
      <c r="H89" s="117"/>
      <c r="I89" s="117"/>
      <c r="J89" s="117"/>
      <c r="K89" s="117"/>
      <c r="L89" s="117"/>
      <c r="M89" s="152"/>
      <c r="N89" s="153"/>
      <c r="O89" s="153"/>
      <c r="P89" s="153"/>
      <c r="Q89" s="153"/>
      <c r="R89" s="101"/>
      <c r="S89" s="101"/>
      <c r="T89" s="101"/>
      <c r="U89" s="101"/>
      <c r="V89" s="101"/>
      <c r="W89" s="101"/>
      <c r="X89" s="101"/>
      <c r="Y89" s="101"/>
      <c r="Z89" s="101"/>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13"/>
      <c r="BK89" s="213"/>
    </row>
    <row r="90" spans="1:63" ht="12.75" hidden="1" customHeight="1" outlineLevel="1">
      <c r="A90" s="9"/>
      <c r="B90" s="46"/>
      <c r="C90" s="130">
        <f>Asset15</f>
        <v>0</v>
      </c>
      <c r="D90" s="9"/>
      <c r="E90" s="9"/>
      <c r="F90" s="142"/>
      <c r="G90" s="193">
        <f t="shared" si="0"/>
        <v>0</v>
      </c>
      <c r="H90" s="117"/>
      <c r="I90" s="117"/>
      <c r="J90" s="117"/>
      <c r="K90" s="117"/>
      <c r="L90" s="117"/>
      <c r="M90" s="152"/>
      <c r="N90" s="153"/>
      <c r="O90" s="153"/>
      <c r="P90" s="153"/>
      <c r="Q90" s="153"/>
      <c r="R90" s="101"/>
      <c r="S90" s="101"/>
      <c r="T90" s="101"/>
      <c r="U90" s="101"/>
      <c r="V90" s="101"/>
      <c r="W90" s="101"/>
      <c r="X90" s="101"/>
      <c r="Y90" s="101"/>
      <c r="Z90" s="101"/>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13"/>
      <c r="BK90" s="213"/>
    </row>
    <row r="91" spans="1:63" ht="12.75" hidden="1" customHeight="1" outlineLevel="1">
      <c r="A91" s="9"/>
      <c r="B91" s="46"/>
      <c r="C91" s="130">
        <f>Asset16</f>
        <v>0</v>
      </c>
      <c r="D91" s="9"/>
      <c r="E91" s="9"/>
      <c r="F91" s="142"/>
      <c r="G91" s="193">
        <f t="shared" si="0"/>
        <v>0</v>
      </c>
      <c r="H91" s="117"/>
      <c r="I91" s="117"/>
      <c r="J91" s="117"/>
      <c r="K91" s="117"/>
      <c r="L91" s="117"/>
      <c r="M91" s="152"/>
      <c r="N91" s="153"/>
      <c r="O91" s="153"/>
      <c r="P91" s="153"/>
      <c r="Q91" s="153"/>
      <c r="R91" s="101"/>
      <c r="S91" s="101"/>
      <c r="T91" s="101"/>
      <c r="U91" s="101"/>
      <c r="V91" s="101"/>
      <c r="W91" s="101"/>
      <c r="X91" s="101"/>
      <c r="Y91" s="101"/>
      <c r="Z91" s="101"/>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13"/>
      <c r="BK91" s="213"/>
    </row>
    <row r="92" spans="1:63" ht="12.75" hidden="1" customHeight="1" outlineLevel="1">
      <c r="A92" s="9"/>
      <c r="B92" s="46"/>
      <c r="C92" s="130">
        <f>Asset17</f>
        <v>0</v>
      </c>
      <c r="D92" s="9"/>
      <c r="E92" s="9"/>
      <c r="F92" s="142"/>
      <c r="G92" s="193">
        <f t="shared" si="0"/>
        <v>0</v>
      </c>
      <c r="H92" s="117"/>
      <c r="I92" s="117"/>
      <c r="J92" s="117"/>
      <c r="K92" s="117"/>
      <c r="L92" s="117"/>
      <c r="M92" s="152"/>
      <c r="N92" s="153"/>
      <c r="O92" s="153"/>
      <c r="P92" s="153"/>
      <c r="Q92" s="153"/>
      <c r="R92" s="101"/>
      <c r="S92" s="101"/>
      <c r="T92" s="101"/>
      <c r="U92" s="101"/>
      <c r="V92" s="101"/>
      <c r="W92" s="101"/>
      <c r="X92" s="101"/>
      <c r="Y92" s="101"/>
      <c r="Z92" s="101"/>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13"/>
      <c r="BK92" s="213"/>
    </row>
    <row r="93" spans="1:63" ht="12.75" hidden="1" customHeight="1" outlineLevel="1">
      <c r="A93" s="9"/>
      <c r="B93" s="46"/>
      <c r="C93" s="130">
        <f>Asset18</f>
        <v>0</v>
      </c>
      <c r="D93" s="9"/>
      <c r="E93" s="9"/>
      <c r="F93" s="142"/>
      <c r="G93" s="193">
        <f t="shared" si="0"/>
        <v>0</v>
      </c>
      <c r="H93" s="117"/>
      <c r="I93" s="117"/>
      <c r="J93" s="117"/>
      <c r="K93" s="117"/>
      <c r="L93" s="117"/>
      <c r="M93" s="152"/>
      <c r="N93" s="153"/>
      <c r="O93" s="153"/>
      <c r="P93" s="153"/>
      <c r="Q93" s="153"/>
      <c r="R93" s="101"/>
      <c r="S93" s="101"/>
      <c r="T93" s="101"/>
      <c r="U93" s="101"/>
      <c r="V93" s="101"/>
      <c r="W93" s="101"/>
      <c r="X93" s="101"/>
      <c r="Y93" s="101"/>
      <c r="Z93" s="101"/>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13"/>
      <c r="BK93" s="213"/>
    </row>
    <row r="94" spans="1:63" ht="12.75" hidden="1" customHeight="1" outlineLevel="1">
      <c r="A94" s="9"/>
      <c r="B94" s="46"/>
      <c r="C94" s="130">
        <f>Asset19</f>
        <v>0</v>
      </c>
      <c r="D94" s="9"/>
      <c r="E94" s="9"/>
      <c r="F94" s="142"/>
      <c r="G94" s="193">
        <f t="shared" si="0"/>
        <v>0</v>
      </c>
      <c r="H94" s="117"/>
      <c r="I94" s="117"/>
      <c r="J94" s="117"/>
      <c r="K94" s="117"/>
      <c r="L94" s="117"/>
      <c r="M94" s="152"/>
      <c r="N94" s="153"/>
      <c r="O94" s="153"/>
      <c r="P94" s="153"/>
      <c r="Q94" s="153"/>
      <c r="R94" s="101"/>
      <c r="S94" s="101"/>
      <c r="T94" s="101"/>
      <c r="U94" s="101"/>
      <c r="V94" s="101"/>
      <c r="W94" s="101"/>
      <c r="X94" s="101"/>
      <c r="Y94" s="101"/>
      <c r="Z94" s="101"/>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13"/>
      <c r="BK94" s="213"/>
    </row>
    <row r="95" spans="1:63" ht="12.75" hidden="1" customHeight="1" outlineLevel="1">
      <c r="A95" s="9"/>
      <c r="B95" s="46"/>
      <c r="C95" s="130">
        <f>Asset20</f>
        <v>0</v>
      </c>
      <c r="D95" s="9"/>
      <c r="E95" s="9"/>
      <c r="F95" s="142"/>
      <c r="G95" s="193">
        <f t="shared" si="0"/>
        <v>0</v>
      </c>
      <c r="H95" s="117"/>
      <c r="I95" s="117"/>
      <c r="J95" s="117"/>
      <c r="K95" s="117"/>
      <c r="L95" s="117"/>
      <c r="M95" s="152"/>
      <c r="N95" s="153"/>
      <c r="O95" s="153"/>
      <c r="P95" s="153"/>
      <c r="Q95" s="153"/>
      <c r="R95" s="101"/>
      <c r="S95" s="101"/>
      <c r="T95" s="101"/>
      <c r="U95" s="101"/>
      <c r="V95" s="101"/>
      <c r="W95" s="101"/>
      <c r="X95" s="101"/>
      <c r="Y95" s="101"/>
      <c r="Z95" s="101"/>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13"/>
      <c r="BK95" s="213"/>
    </row>
    <row r="96" spans="1:63" ht="12.75" hidden="1" customHeight="1" outlineLevel="1">
      <c r="A96" s="9"/>
      <c r="B96" s="46"/>
      <c r="C96" s="130">
        <f>Asset21</f>
        <v>0</v>
      </c>
      <c r="D96" s="9"/>
      <c r="E96" s="9"/>
      <c r="F96" s="142"/>
      <c r="G96" s="193">
        <f t="shared" si="0"/>
        <v>0</v>
      </c>
      <c r="H96" s="117"/>
      <c r="I96" s="117"/>
      <c r="J96" s="117"/>
      <c r="K96" s="117"/>
      <c r="L96" s="117"/>
      <c r="M96" s="152"/>
      <c r="N96" s="153"/>
      <c r="O96" s="153"/>
      <c r="P96" s="153"/>
      <c r="Q96" s="153"/>
      <c r="R96" s="101"/>
      <c r="S96" s="101"/>
      <c r="T96" s="101"/>
      <c r="U96" s="101"/>
      <c r="V96" s="101"/>
      <c r="W96" s="101"/>
      <c r="X96" s="101"/>
      <c r="Y96" s="101"/>
      <c r="Z96" s="101"/>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13"/>
      <c r="BK96" s="213"/>
    </row>
    <row r="97" spans="1:63" ht="12.75" hidden="1" customHeight="1" outlineLevel="1">
      <c r="A97" s="9"/>
      <c r="B97" s="46"/>
      <c r="C97" s="130">
        <f>Asset22</f>
        <v>0</v>
      </c>
      <c r="D97" s="9"/>
      <c r="E97" s="9"/>
      <c r="F97" s="142"/>
      <c r="G97" s="193">
        <f t="shared" si="0"/>
        <v>0</v>
      </c>
      <c r="H97" s="117"/>
      <c r="I97" s="117"/>
      <c r="J97" s="117"/>
      <c r="K97" s="117"/>
      <c r="L97" s="117"/>
      <c r="M97" s="152"/>
      <c r="N97" s="153"/>
      <c r="O97" s="153"/>
      <c r="P97" s="153"/>
      <c r="Q97" s="153"/>
      <c r="R97" s="101"/>
      <c r="S97" s="101"/>
      <c r="T97" s="101"/>
      <c r="U97" s="101"/>
      <c r="V97" s="101"/>
      <c r="W97" s="101"/>
      <c r="X97" s="101"/>
      <c r="Y97" s="101"/>
      <c r="Z97" s="101"/>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13"/>
      <c r="BK97" s="213"/>
    </row>
    <row r="98" spans="1:63" ht="12.75" hidden="1" customHeight="1" outlineLevel="1">
      <c r="A98" s="9"/>
      <c r="B98" s="46"/>
      <c r="C98" s="130">
        <f>Asset23</f>
        <v>0</v>
      </c>
      <c r="D98" s="9"/>
      <c r="E98" s="9"/>
      <c r="F98" s="142"/>
      <c r="G98" s="193">
        <f t="shared" si="0"/>
        <v>0</v>
      </c>
      <c r="H98" s="117"/>
      <c r="I98" s="117"/>
      <c r="J98" s="117"/>
      <c r="K98" s="117"/>
      <c r="L98" s="117"/>
      <c r="M98" s="152"/>
      <c r="N98" s="153"/>
      <c r="O98" s="153"/>
      <c r="P98" s="153"/>
      <c r="Q98" s="153"/>
      <c r="R98" s="101"/>
      <c r="S98" s="101"/>
      <c r="T98" s="101"/>
      <c r="U98" s="101"/>
      <c r="V98" s="101"/>
      <c r="W98" s="101"/>
      <c r="X98" s="101"/>
      <c r="Y98" s="101"/>
      <c r="Z98" s="101"/>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13"/>
      <c r="BK98" s="213"/>
    </row>
    <row r="99" spans="1:63" ht="12.75" hidden="1" customHeight="1" outlineLevel="1">
      <c r="A99" s="9"/>
      <c r="B99" s="46"/>
      <c r="C99" s="130">
        <f>Asset24</f>
        <v>0</v>
      </c>
      <c r="D99" s="9"/>
      <c r="E99" s="9"/>
      <c r="F99" s="142"/>
      <c r="G99" s="193">
        <f t="shared" si="0"/>
        <v>0</v>
      </c>
      <c r="H99" s="117"/>
      <c r="I99" s="117"/>
      <c r="J99" s="117"/>
      <c r="K99" s="117"/>
      <c r="L99" s="117"/>
      <c r="M99" s="152"/>
      <c r="N99" s="153"/>
      <c r="O99" s="153"/>
      <c r="P99" s="153"/>
      <c r="Q99" s="153"/>
      <c r="R99" s="101"/>
      <c r="S99" s="101"/>
      <c r="T99" s="101"/>
      <c r="U99" s="101"/>
      <c r="V99" s="101"/>
      <c r="W99" s="101"/>
      <c r="X99" s="101"/>
      <c r="Y99" s="101"/>
      <c r="Z99" s="101"/>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13"/>
      <c r="BK99" s="213"/>
    </row>
    <row r="100" spans="1:63" ht="12.75" hidden="1" customHeight="1" outlineLevel="1">
      <c r="A100" s="9"/>
      <c r="B100" s="46"/>
      <c r="C100" s="130">
        <f>Asset25</f>
        <v>0</v>
      </c>
      <c r="D100" s="9"/>
      <c r="E100" s="9"/>
      <c r="F100" s="142"/>
      <c r="G100" s="193">
        <f t="shared" si="0"/>
        <v>0</v>
      </c>
      <c r="H100" s="117"/>
      <c r="I100" s="117"/>
      <c r="J100" s="117"/>
      <c r="K100" s="117"/>
      <c r="L100" s="117"/>
      <c r="M100" s="152"/>
      <c r="N100" s="153"/>
      <c r="O100" s="153"/>
      <c r="P100" s="153"/>
      <c r="Q100" s="153"/>
      <c r="R100" s="101"/>
      <c r="S100" s="101"/>
      <c r="T100" s="101"/>
      <c r="U100" s="101"/>
      <c r="V100" s="101"/>
      <c r="W100" s="101"/>
      <c r="X100" s="101"/>
      <c r="Y100" s="101"/>
      <c r="Z100" s="101"/>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13"/>
      <c r="BK100" s="213"/>
    </row>
    <row r="101" spans="1:63" ht="12.75" hidden="1" customHeight="1" outlineLevel="1">
      <c r="A101" s="9"/>
      <c r="B101" s="46"/>
      <c r="C101" s="130">
        <f>Asset26</f>
        <v>0</v>
      </c>
      <c r="D101" s="9"/>
      <c r="E101" s="9"/>
      <c r="F101" s="142"/>
      <c r="G101" s="193">
        <f t="shared" si="0"/>
        <v>0</v>
      </c>
      <c r="H101" s="117"/>
      <c r="I101" s="117"/>
      <c r="J101" s="117"/>
      <c r="K101" s="117"/>
      <c r="L101" s="117"/>
      <c r="M101" s="152"/>
      <c r="N101" s="153"/>
      <c r="O101" s="153"/>
      <c r="P101" s="153"/>
      <c r="Q101" s="153"/>
      <c r="R101" s="101"/>
      <c r="S101" s="101"/>
      <c r="T101" s="101"/>
      <c r="U101" s="101"/>
      <c r="V101" s="101"/>
      <c r="W101" s="101"/>
      <c r="X101" s="101"/>
      <c r="Y101" s="101"/>
      <c r="Z101" s="101"/>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13"/>
      <c r="BK101" s="213"/>
    </row>
    <row r="102" spans="1:63" ht="12.75" hidden="1" customHeight="1" outlineLevel="1">
      <c r="A102" s="9"/>
      <c r="B102" s="46"/>
      <c r="C102" s="130">
        <f>Asset27</f>
        <v>0</v>
      </c>
      <c r="D102" s="9"/>
      <c r="E102" s="9"/>
      <c r="F102" s="142"/>
      <c r="G102" s="193">
        <f t="shared" si="0"/>
        <v>0</v>
      </c>
      <c r="H102" s="117"/>
      <c r="I102" s="117"/>
      <c r="J102" s="117"/>
      <c r="K102" s="117"/>
      <c r="L102" s="117"/>
      <c r="M102" s="152"/>
      <c r="N102" s="153"/>
      <c r="O102" s="153"/>
      <c r="P102" s="153"/>
      <c r="Q102" s="153"/>
      <c r="R102" s="101"/>
      <c r="S102" s="101"/>
      <c r="T102" s="101"/>
      <c r="U102" s="101"/>
      <c r="V102" s="101"/>
      <c r="W102" s="101"/>
      <c r="X102" s="101"/>
      <c r="Y102" s="101"/>
      <c r="Z102" s="101"/>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13"/>
      <c r="BK102" s="213"/>
    </row>
    <row r="103" spans="1:63" ht="12.75" hidden="1" customHeight="1" outlineLevel="1">
      <c r="A103" s="9"/>
      <c r="B103" s="46"/>
      <c r="C103" s="130">
        <f>Asset28</f>
        <v>0</v>
      </c>
      <c r="D103" s="9"/>
      <c r="E103" s="9"/>
      <c r="F103" s="142"/>
      <c r="G103" s="193">
        <f t="shared" si="0"/>
        <v>0</v>
      </c>
      <c r="H103" s="117"/>
      <c r="I103" s="117"/>
      <c r="J103" s="117"/>
      <c r="K103" s="117"/>
      <c r="L103" s="117"/>
      <c r="M103" s="152"/>
      <c r="N103" s="153"/>
      <c r="O103" s="153"/>
      <c r="P103" s="153"/>
      <c r="Q103" s="153"/>
      <c r="R103" s="101"/>
      <c r="S103" s="101"/>
      <c r="T103" s="101"/>
      <c r="U103" s="101"/>
      <c r="V103" s="101"/>
      <c r="W103" s="101"/>
      <c r="X103" s="101"/>
      <c r="Y103" s="101"/>
      <c r="Z103" s="101"/>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13"/>
      <c r="BK103" s="213"/>
    </row>
    <row r="104" spans="1:63" ht="12.75" hidden="1" customHeight="1" outlineLevel="1">
      <c r="A104" s="9"/>
      <c r="B104" s="46"/>
      <c r="C104" s="130">
        <f>Asset29</f>
        <v>0</v>
      </c>
      <c r="D104" s="9"/>
      <c r="E104" s="9"/>
      <c r="F104" s="142"/>
      <c r="G104" s="193">
        <f t="shared" si="0"/>
        <v>0</v>
      </c>
      <c r="H104" s="117"/>
      <c r="I104" s="117"/>
      <c r="J104" s="117"/>
      <c r="K104" s="117"/>
      <c r="L104" s="117"/>
      <c r="M104" s="152"/>
      <c r="N104" s="153"/>
      <c r="O104" s="153"/>
      <c r="P104" s="153"/>
      <c r="Q104" s="153"/>
      <c r="R104" s="101"/>
      <c r="S104" s="101"/>
      <c r="T104" s="101"/>
      <c r="U104" s="101"/>
      <c r="V104" s="101"/>
      <c r="W104" s="101"/>
      <c r="X104" s="101"/>
      <c r="Y104" s="101"/>
      <c r="Z104" s="101"/>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13"/>
      <c r="BK104" s="213"/>
    </row>
    <row r="105" spans="1:63" ht="12.75" hidden="1" customHeight="1" outlineLevel="1">
      <c r="A105" s="9"/>
      <c r="B105" s="46"/>
      <c r="C105" s="130">
        <f>Asset30</f>
        <v>0</v>
      </c>
      <c r="D105" s="9"/>
      <c r="E105" s="9"/>
      <c r="F105" s="142"/>
      <c r="G105" s="193">
        <f t="shared" si="0"/>
        <v>0</v>
      </c>
      <c r="H105" s="117"/>
      <c r="I105" s="117"/>
      <c r="J105" s="117"/>
      <c r="K105" s="117"/>
      <c r="L105" s="117"/>
      <c r="M105" s="152"/>
      <c r="N105" s="153"/>
      <c r="O105" s="153"/>
      <c r="P105" s="153"/>
      <c r="Q105" s="153"/>
      <c r="R105" s="101"/>
      <c r="S105" s="101"/>
      <c r="T105" s="101"/>
      <c r="U105" s="101"/>
      <c r="V105" s="101"/>
      <c r="W105" s="101"/>
      <c r="X105" s="101"/>
      <c r="Y105" s="101"/>
      <c r="Z105" s="101"/>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13"/>
      <c r="BK105" s="213"/>
    </row>
    <row r="106" spans="1:63" collapsed="1">
      <c r="A106" s="9"/>
      <c r="B106" s="46"/>
      <c r="C106" s="130"/>
      <c r="D106" s="9"/>
      <c r="E106" s="9"/>
      <c r="F106" s="142"/>
      <c r="G106" s="193"/>
      <c r="H106" s="117"/>
      <c r="I106" s="117"/>
      <c r="J106" s="117"/>
      <c r="K106" s="117"/>
      <c r="L106" s="117"/>
      <c r="M106" s="152"/>
      <c r="N106" s="153"/>
      <c r="O106" s="153"/>
      <c r="P106" s="153"/>
      <c r="Q106" s="153"/>
      <c r="R106" s="101"/>
      <c r="S106" s="101"/>
      <c r="T106" s="101"/>
      <c r="U106" s="101"/>
      <c r="V106" s="101"/>
      <c r="W106" s="101"/>
      <c r="X106" s="101"/>
      <c r="Y106" s="101"/>
      <c r="Z106" s="101"/>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13"/>
      <c r="BK106" s="213"/>
    </row>
    <row r="107" spans="1:63">
      <c r="A107" s="9"/>
      <c r="B107" s="46" t="s">
        <v>61</v>
      </c>
      <c r="C107" s="9"/>
      <c r="D107" s="9"/>
      <c r="E107" s="9"/>
      <c r="F107" s="142"/>
      <c r="G107" s="194"/>
      <c r="H107" s="37">
        <f>SUM(H108,H110,H112,H114,H116,H118,H120,H122,H124,H126,H128,H130,H132,H134,H136,H138,H140,H142,H144,H146,H148,H150,H152,H154,H156,H158,H160,H162,H164,H166)</f>
        <v>-2.0766545034000221</v>
      </c>
      <c r="I107" s="37">
        <f t="shared" ref="I107:Q107" si="1">SUM(I108,I110,I112,I114,I116,I118,I120,I122,I124,I126,I128,I130,I132,I134,I136,I138,I140,I142,I144,I146,I148,I150,I152,I154,I156,I158,I160,I162,I164,I166)</f>
        <v>-2.4617140775876041</v>
      </c>
      <c r="J107" s="37">
        <f t="shared" si="1"/>
        <v>-2.3009111151057677</v>
      </c>
      <c r="K107" s="37">
        <f t="shared" si="1"/>
        <v>-2.5525463008351159</v>
      </c>
      <c r="L107" s="37">
        <f t="shared" si="1"/>
        <v>-2.8316401531106741</v>
      </c>
      <c r="M107" s="37">
        <f t="shared" si="1"/>
        <v>0</v>
      </c>
      <c r="N107" s="37">
        <f t="shared" si="1"/>
        <v>0</v>
      </c>
      <c r="O107" s="37">
        <f t="shared" si="1"/>
        <v>0</v>
      </c>
      <c r="P107" s="37">
        <f t="shared" si="1"/>
        <v>0</v>
      </c>
      <c r="Q107" s="37">
        <f t="shared" si="1"/>
        <v>0</v>
      </c>
      <c r="R107" s="101"/>
      <c r="S107" s="101"/>
      <c r="T107" s="101"/>
      <c r="U107" s="101"/>
      <c r="V107" s="101"/>
      <c r="W107" s="101"/>
      <c r="X107" s="101"/>
      <c r="Y107" s="101"/>
      <c r="Z107" s="101"/>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13"/>
      <c r="BK107" s="213"/>
    </row>
    <row r="108" spans="1:63" ht="12.75" hidden="1" customHeight="1" outlineLevel="1">
      <c r="A108" s="9"/>
      <c r="B108" s="46"/>
      <c r="C108" s="130" t="str">
        <f>Asset1</f>
        <v>Subtransmission</v>
      </c>
      <c r="D108" s="9"/>
      <c r="E108" s="9"/>
      <c r="F108" s="142"/>
      <c r="G108" s="193"/>
      <c r="H108" s="112">
        <f>($G76+(SUM($G108:G108)))*H$7</f>
        <v>1.2273050840322435</v>
      </c>
      <c r="I108" s="112">
        <f>($G76+(SUM($G108:H108)))*I$7</f>
        <v>1.4548757137551778</v>
      </c>
      <c r="J108" s="112">
        <f>($G76+(SUM($G108:I108)))*J$7</f>
        <v>1.3598409869586479</v>
      </c>
      <c r="K108" s="112">
        <f>($G76+(SUM($G108:J108)))*K$7</f>
        <v>1.5085576570939003</v>
      </c>
      <c r="L108" s="112">
        <f>($G76+(SUM($G108:K108)))*L$7</f>
        <v>1.6735024292065079</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13"/>
      <c r="BK108" s="213"/>
    </row>
    <row r="109" spans="1:63" ht="12.75" hidden="1" customHeight="1" outlineLevel="1">
      <c r="A109" s="9"/>
      <c r="B109" s="46"/>
      <c r="C109" s="155" t="s">
        <v>29</v>
      </c>
      <c r="D109" s="9"/>
      <c r="E109" s="9"/>
      <c r="F109" s="142"/>
      <c r="G109" s="193"/>
      <c r="H109" s="112"/>
      <c r="I109" s="112"/>
      <c r="J109" s="112"/>
      <c r="K109" s="112"/>
      <c r="L109" s="112">
        <f>IF(M108=0, SUM($G108:L108), 0)</f>
        <v>7.2240818710464776</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13"/>
      <c r="BK109" s="213"/>
    </row>
    <row r="110" spans="1:63" ht="12.75" hidden="1" customHeight="1" outlineLevel="1">
      <c r="A110" s="9"/>
      <c r="B110" s="46"/>
      <c r="C110" s="130" t="str">
        <f>Asset2</f>
        <v>Distribution system assets</v>
      </c>
      <c r="D110" s="9"/>
      <c r="E110" s="9"/>
      <c r="F110" s="142"/>
      <c r="G110" s="193"/>
      <c r="H110" s="112">
        <f>($G77+(SUM($G110:G110)))*H$7</f>
        <v>-2.9769007913345211</v>
      </c>
      <c r="I110" s="112">
        <f>($G77+(SUM($G110:H110)))*I$7</f>
        <v>-3.5288867616695878</v>
      </c>
      <c r="J110" s="112">
        <f>($G77+(SUM($G110:I110)))*J$7</f>
        <v>-3.2983744325954119</v>
      </c>
      <c r="K110" s="112">
        <f>($G77+(SUM($G110:J110)))*K$7</f>
        <v>-3.6590954780552356</v>
      </c>
      <c r="L110" s="112">
        <f>($G77+(SUM($G110:K110)))*L$7</f>
        <v>-4.0591787409838629</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13"/>
      <c r="BK110" s="213"/>
    </row>
    <row r="111" spans="1:63" ht="12.75" hidden="1" customHeight="1" outlineLevel="1">
      <c r="A111" s="9"/>
      <c r="B111" s="46"/>
      <c r="C111" s="155" t="s">
        <v>29</v>
      </c>
      <c r="D111" s="9"/>
      <c r="E111" s="9"/>
      <c r="F111" s="142"/>
      <c r="G111" s="193"/>
      <c r="H111" s="112"/>
      <c r="I111" s="112"/>
      <c r="J111" s="112"/>
      <c r="K111" s="112"/>
      <c r="L111" s="112">
        <f>IF(M110=0, SUM($G110:L110), 0)</f>
        <v>-17.52243620463862</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13"/>
      <c r="BK111" s="213"/>
    </row>
    <row r="112" spans="1:63" ht="12.75" hidden="1" customHeight="1" outlineLevel="1">
      <c r="A112" s="9"/>
      <c r="B112" s="46"/>
      <c r="C112" s="130" t="str">
        <f>Asset3</f>
        <v>Standard metering</v>
      </c>
      <c r="D112" s="9"/>
      <c r="E112" s="9"/>
      <c r="F112" s="142"/>
      <c r="G112" s="193"/>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13"/>
      <c r="BK112" s="213"/>
    </row>
    <row r="113" spans="1:63" ht="12.75" hidden="1" customHeight="1" outlineLevel="1">
      <c r="A113" s="9"/>
      <c r="B113" s="46"/>
      <c r="C113" s="155" t="s">
        <v>29</v>
      </c>
      <c r="D113" s="9"/>
      <c r="E113" s="9"/>
      <c r="F113" s="142"/>
      <c r="G113" s="193"/>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13"/>
      <c r="BK113" s="213"/>
    </row>
    <row r="114" spans="1:63" ht="12.75" hidden="1" customHeight="1" outlineLevel="1">
      <c r="A114" s="9"/>
      <c r="B114" s="46"/>
      <c r="C114" s="130" t="str">
        <f>Asset4</f>
        <v>Public lighting</v>
      </c>
      <c r="D114" s="9"/>
      <c r="E114" s="9"/>
      <c r="F114" s="142"/>
      <c r="G114" s="193"/>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13"/>
      <c r="BK114" s="213"/>
    </row>
    <row r="115" spans="1:63" ht="12.75" hidden="1" customHeight="1" outlineLevel="1">
      <c r="A115" s="9"/>
      <c r="B115" s="46"/>
      <c r="C115" s="155" t="s">
        <v>29</v>
      </c>
      <c r="D115" s="9"/>
      <c r="E115" s="9"/>
      <c r="F115" s="142"/>
      <c r="G115" s="193"/>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13"/>
      <c r="BK115" s="213"/>
    </row>
    <row r="116" spans="1:63" ht="12.75" hidden="1" customHeight="1" outlineLevel="1">
      <c r="A116" s="9"/>
      <c r="B116" s="46"/>
      <c r="C116" s="130" t="str">
        <f>Asset5</f>
        <v>SCADA/Network control</v>
      </c>
      <c r="D116" s="9"/>
      <c r="E116" s="9"/>
      <c r="F116" s="142"/>
      <c r="G116" s="193"/>
      <c r="H116" s="112">
        <f>($G80+(SUM($G116:G116)))*H$7</f>
        <v>-0.18056893032214846</v>
      </c>
      <c r="I116" s="112">
        <f>($G80+(SUM($G116:H116)))*I$7</f>
        <v>-0.21405056884580051</v>
      </c>
      <c r="J116" s="112">
        <f>($G80+(SUM($G116:I116)))*J$7</f>
        <v>-0.20006845536450721</v>
      </c>
      <c r="K116" s="112">
        <f>($G80+(SUM($G116:J116)))*K$7</f>
        <v>-0.2219485977975266</v>
      </c>
      <c r="L116" s="112">
        <f>($G80+(SUM($G116:K116)))*L$7</f>
        <v>-0.24621632181342548</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13"/>
      <c r="BK116" s="213"/>
    </row>
    <row r="117" spans="1:63" ht="12.75" hidden="1" customHeight="1" outlineLevel="1">
      <c r="A117" s="9"/>
      <c r="B117" s="46"/>
      <c r="C117" s="155" t="s">
        <v>29</v>
      </c>
      <c r="D117" s="9"/>
      <c r="E117" s="9"/>
      <c r="F117" s="142"/>
      <c r="G117" s="193"/>
      <c r="H117" s="112"/>
      <c r="I117" s="112"/>
      <c r="J117" s="112"/>
      <c r="K117" s="112"/>
      <c r="L117" s="112">
        <f>IF(M116=0, SUM($G116:L116), 0)</f>
        <v>-1.0628528741434082</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13"/>
      <c r="BK117" s="213"/>
    </row>
    <row r="118" spans="1:63" ht="12.75" hidden="1" customHeight="1" outlineLevel="1">
      <c r="A118" s="9"/>
      <c r="B118" s="46"/>
      <c r="C118" s="130" t="str">
        <f>Asset6</f>
        <v>Non-network general assets - IT</v>
      </c>
      <c r="D118" s="9"/>
      <c r="E118" s="9"/>
      <c r="F118" s="142"/>
      <c r="G118" s="193"/>
      <c r="H118" s="112">
        <f>($G81+(SUM($G118:G118)))*H$7</f>
        <v>-3.9706273994480831E-2</v>
      </c>
      <c r="I118" s="112">
        <f>($G81+(SUM($G118:H118)))*I$7</f>
        <v>-4.706873170319345E-2</v>
      </c>
      <c r="J118" s="112">
        <f>($G81+(SUM($G118:I118)))*J$7</f>
        <v>-4.3994129511555728E-2</v>
      </c>
      <c r="K118" s="112">
        <f>($G81+(SUM($G118:J118)))*K$7</f>
        <v>-4.8805471800252728E-2</v>
      </c>
      <c r="L118" s="112">
        <f>($G81+(SUM($G118:K118)))*L$7</f>
        <v>-5.4141832254283352E-2</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13"/>
      <c r="BK118" s="213"/>
    </row>
    <row r="119" spans="1:63" ht="12.75" hidden="1" customHeight="1" outlineLevel="1">
      <c r="A119" s="9"/>
      <c r="B119" s="46"/>
      <c r="C119" s="155" t="s">
        <v>29</v>
      </c>
      <c r="D119" s="9"/>
      <c r="E119" s="9"/>
      <c r="F119" s="142"/>
      <c r="G119" s="193"/>
      <c r="H119" s="112"/>
      <c r="I119" s="112"/>
      <c r="J119" s="112"/>
      <c r="K119" s="112"/>
      <c r="L119" s="112">
        <f>IF(M118=0, SUM($G118:L118), 0)</f>
        <v>-0.23371643926376609</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13"/>
      <c r="BK119" s="213"/>
    </row>
    <row r="120" spans="1:63" ht="12.75" hidden="1" customHeight="1" outlineLevel="1">
      <c r="A120" s="9"/>
      <c r="B120" s="46"/>
      <c r="C120" s="130" t="str">
        <f>Asset7</f>
        <v>Non-network general assets - Other</v>
      </c>
      <c r="D120" s="9"/>
      <c r="E120" s="9"/>
      <c r="F120" s="142"/>
      <c r="G120" s="193"/>
      <c r="H120" s="112">
        <f>($G82+(SUM($G120:G120)))*H$7</f>
        <v>-0.10678359178111504</v>
      </c>
      <c r="I120" s="112">
        <f>($G82+(SUM($G120:H120)))*I$7</f>
        <v>-0.12658372912420021</v>
      </c>
      <c r="J120" s="112">
        <f>($G82+(SUM($G120:I120)))*J$7</f>
        <v>-0.11831508459294052</v>
      </c>
      <c r="K120" s="112">
        <f>($G82+(SUM($G120:J120)))*K$7</f>
        <v>-0.13125441027600135</v>
      </c>
      <c r="L120" s="112">
        <f>($G82+(SUM($G120:K120)))*L$7</f>
        <v>-0.14560568726561005</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13"/>
      <c r="BK120" s="213"/>
    </row>
    <row r="121" spans="1:63" ht="12.75" hidden="1" customHeight="1" outlineLevel="1">
      <c r="A121" s="9"/>
      <c r="B121" s="46"/>
      <c r="C121" s="155" t="s">
        <v>29</v>
      </c>
      <c r="D121" s="9"/>
      <c r="E121" s="9"/>
      <c r="F121" s="142"/>
      <c r="G121" s="193"/>
      <c r="H121" s="112"/>
      <c r="I121" s="112"/>
      <c r="J121" s="112"/>
      <c r="K121" s="112"/>
      <c r="L121" s="112">
        <f>IF(M120=0, SUM($G120:L120), 0)</f>
        <v>-0.62854250303986725</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13"/>
      <c r="BK121" s="213"/>
    </row>
    <row r="122" spans="1:63" ht="12.75" hidden="1" customHeight="1" outlineLevel="1">
      <c r="A122" s="9"/>
      <c r="B122" s="46"/>
      <c r="C122" s="130" t="str">
        <f>Asset8</f>
        <v>VBRC</v>
      </c>
      <c r="D122" s="9"/>
      <c r="E122" s="9"/>
      <c r="F122" s="142"/>
      <c r="G122" s="193"/>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13"/>
      <c r="BK122" s="213"/>
    </row>
    <row r="123" spans="1:63" ht="12.75" hidden="1" customHeight="1" outlineLevel="1">
      <c r="A123" s="9"/>
      <c r="B123" s="46"/>
      <c r="C123" s="155" t="s">
        <v>29</v>
      </c>
      <c r="D123" s="9"/>
      <c r="E123" s="9"/>
      <c r="F123" s="142"/>
      <c r="G123" s="193"/>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13"/>
      <c r="BK123" s="213"/>
    </row>
    <row r="124" spans="1:63" ht="12.75" hidden="1" customHeight="1" outlineLevel="1">
      <c r="A124" s="9"/>
      <c r="B124" s="46"/>
      <c r="C124" s="130" t="str">
        <f>Asset9</f>
        <v>Equity raising</v>
      </c>
      <c r="D124" s="9"/>
      <c r="E124" s="9"/>
      <c r="F124" s="142"/>
      <c r="G124" s="193"/>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13"/>
      <c r="BK124" s="213"/>
    </row>
    <row r="125" spans="1:63" ht="12.75" hidden="1" customHeight="1" outlineLevel="1">
      <c r="A125" s="9"/>
      <c r="B125" s="46"/>
      <c r="C125" s="155" t="s">
        <v>29</v>
      </c>
      <c r="D125" s="9"/>
      <c r="E125" s="9"/>
      <c r="F125" s="142"/>
      <c r="G125" s="193"/>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13"/>
      <c r="BK125" s="213"/>
    </row>
    <row r="126" spans="1:63" ht="12.75" hidden="1" customHeight="1" outlineLevel="1">
      <c r="A126" s="9"/>
      <c r="B126" s="46"/>
      <c r="C126" s="130">
        <f>Asset10</f>
        <v>0</v>
      </c>
      <c r="D126" s="9"/>
      <c r="E126" s="9"/>
      <c r="F126" s="142"/>
      <c r="G126" s="193"/>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13"/>
      <c r="BK126" s="213"/>
    </row>
    <row r="127" spans="1:63" ht="12.75" hidden="1" customHeight="1" outlineLevel="1">
      <c r="A127" s="9"/>
      <c r="B127" s="46"/>
      <c r="C127" s="155" t="s">
        <v>29</v>
      </c>
      <c r="D127" s="9"/>
      <c r="E127" s="9"/>
      <c r="F127" s="142"/>
      <c r="G127" s="193"/>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13"/>
      <c r="BK127" s="213"/>
    </row>
    <row r="128" spans="1:63" ht="12.75" hidden="1" customHeight="1" outlineLevel="1">
      <c r="A128" s="9"/>
      <c r="B128" s="46"/>
      <c r="C128" s="130">
        <f>Asset11</f>
        <v>0</v>
      </c>
      <c r="D128" s="9"/>
      <c r="E128" s="9"/>
      <c r="F128" s="142"/>
      <c r="G128" s="193"/>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13"/>
      <c r="BK128" s="213"/>
    </row>
    <row r="129" spans="1:63" ht="12.75" hidden="1" customHeight="1" outlineLevel="1">
      <c r="A129" s="9"/>
      <c r="B129" s="46"/>
      <c r="C129" s="155" t="s">
        <v>29</v>
      </c>
      <c r="D129" s="9"/>
      <c r="E129" s="9"/>
      <c r="F129" s="142"/>
      <c r="G129" s="193"/>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13"/>
      <c r="BK129" s="213"/>
    </row>
    <row r="130" spans="1:63" ht="12.75" hidden="1" customHeight="1" outlineLevel="1">
      <c r="A130" s="9"/>
      <c r="B130" s="46"/>
      <c r="C130" s="130">
        <f>Asset12</f>
        <v>0</v>
      </c>
      <c r="D130" s="9"/>
      <c r="E130" s="9"/>
      <c r="F130" s="142"/>
      <c r="G130" s="193"/>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13"/>
      <c r="BK130" s="213"/>
    </row>
    <row r="131" spans="1:63" ht="12.75" hidden="1" customHeight="1" outlineLevel="1">
      <c r="A131" s="9"/>
      <c r="B131" s="46"/>
      <c r="C131" s="155" t="s">
        <v>29</v>
      </c>
      <c r="D131" s="9"/>
      <c r="E131" s="9"/>
      <c r="F131" s="142"/>
      <c r="G131" s="193"/>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13"/>
      <c r="BK131" s="213"/>
    </row>
    <row r="132" spans="1:63" ht="12.75" hidden="1" customHeight="1" outlineLevel="1">
      <c r="A132" s="9"/>
      <c r="B132" s="46"/>
      <c r="C132" s="130">
        <f>Asset13</f>
        <v>0</v>
      </c>
      <c r="D132" s="9"/>
      <c r="E132" s="9"/>
      <c r="F132" s="142"/>
      <c r="G132" s="193"/>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13"/>
      <c r="BK132" s="213"/>
    </row>
    <row r="133" spans="1:63" ht="12.75" hidden="1" customHeight="1" outlineLevel="1">
      <c r="A133" s="9"/>
      <c r="B133" s="46"/>
      <c r="C133" s="155" t="s">
        <v>29</v>
      </c>
      <c r="D133" s="9"/>
      <c r="E133" s="9"/>
      <c r="F133" s="142"/>
      <c r="G133" s="193"/>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13"/>
      <c r="BK133" s="213"/>
    </row>
    <row r="134" spans="1:63" ht="12.75" hidden="1" customHeight="1" outlineLevel="1">
      <c r="A134" s="9"/>
      <c r="B134" s="46"/>
      <c r="C134" s="130">
        <f>Asset14</f>
        <v>0</v>
      </c>
      <c r="D134" s="9"/>
      <c r="E134" s="9"/>
      <c r="F134" s="142"/>
      <c r="G134" s="193"/>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13"/>
      <c r="BK134" s="213"/>
    </row>
    <row r="135" spans="1:63" ht="12.75" hidden="1" customHeight="1" outlineLevel="1">
      <c r="A135" s="9"/>
      <c r="B135" s="46"/>
      <c r="C135" s="155" t="s">
        <v>29</v>
      </c>
      <c r="D135" s="9"/>
      <c r="E135" s="9"/>
      <c r="F135" s="142"/>
      <c r="G135" s="193"/>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13"/>
      <c r="BK135" s="213"/>
    </row>
    <row r="136" spans="1:63" ht="12.75" hidden="1" customHeight="1" outlineLevel="1">
      <c r="A136" s="9"/>
      <c r="B136" s="46"/>
      <c r="C136" s="130">
        <f>Asset15</f>
        <v>0</v>
      </c>
      <c r="D136" s="9"/>
      <c r="E136" s="9"/>
      <c r="F136" s="142"/>
      <c r="G136" s="193"/>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13"/>
      <c r="BK136" s="213"/>
    </row>
    <row r="137" spans="1:63" ht="12.75" hidden="1" customHeight="1" outlineLevel="1">
      <c r="A137" s="9"/>
      <c r="B137" s="46"/>
      <c r="C137" s="155" t="s">
        <v>29</v>
      </c>
      <c r="D137" s="9"/>
      <c r="E137" s="9"/>
      <c r="F137" s="142"/>
      <c r="G137" s="193"/>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13"/>
      <c r="BK137" s="213"/>
    </row>
    <row r="138" spans="1:63" ht="12.75" hidden="1" customHeight="1" outlineLevel="1">
      <c r="A138" s="9"/>
      <c r="B138" s="46"/>
      <c r="C138" s="130">
        <f>Asset16</f>
        <v>0</v>
      </c>
      <c r="D138" s="9"/>
      <c r="E138" s="9"/>
      <c r="F138" s="142"/>
      <c r="G138" s="193"/>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13"/>
      <c r="BK138" s="213"/>
    </row>
    <row r="139" spans="1:63" ht="12.75" hidden="1" customHeight="1" outlineLevel="1">
      <c r="A139" s="9"/>
      <c r="B139" s="46"/>
      <c r="C139" s="155" t="s">
        <v>29</v>
      </c>
      <c r="D139" s="9"/>
      <c r="E139" s="9"/>
      <c r="F139" s="142"/>
      <c r="G139" s="193"/>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13"/>
      <c r="BK139" s="213"/>
    </row>
    <row r="140" spans="1:63" ht="12.75" hidden="1" customHeight="1" outlineLevel="1">
      <c r="A140" s="9"/>
      <c r="B140" s="46"/>
      <c r="C140" s="130">
        <f>Asset17</f>
        <v>0</v>
      </c>
      <c r="D140" s="9"/>
      <c r="E140" s="9"/>
      <c r="F140" s="142"/>
      <c r="G140" s="193"/>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13"/>
      <c r="BK140" s="213"/>
    </row>
    <row r="141" spans="1:63" ht="12.75" hidden="1" customHeight="1" outlineLevel="1">
      <c r="A141" s="9"/>
      <c r="B141" s="46"/>
      <c r="C141" s="155" t="s">
        <v>29</v>
      </c>
      <c r="D141" s="9"/>
      <c r="E141" s="9"/>
      <c r="F141" s="142"/>
      <c r="G141" s="193"/>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13"/>
      <c r="BK141" s="213"/>
    </row>
    <row r="142" spans="1:63" ht="12.75" hidden="1" customHeight="1" outlineLevel="1">
      <c r="A142" s="9"/>
      <c r="B142" s="46"/>
      <c r="C142" s="130">
        <f>Asset18</f>
        <v>0</v>
      </c>
      <c r="D142" s="9"/>
      <c r="E142" s="9"/>
      <c r="F142" s="142"/>
      <c r="G142" s="193"/>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13"/>
      <c r="BK142" s="213"/>
    </row>
    <row r="143" spans="1:63" ht="12.75" hidden="1" customHeight="1" outlineLevel="1">
      <c r="A143" s="9"/>
      <c r="B143" s="46"/>
      <c r="C143" s="155" t="s">
        <v>29</v>
      </c>
      <c r="D143" s="9"/>
      <c r="E143" s="9"/>
      <c r="F143" s="142"/>
      <c r="G143" s="193"/>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13"/>
      <c r="BK143" s="213"/>
    </row>
    <row r="144" spans="1:63" ht="12.75" hidden="1" customHeight="1" outlineLevel="1">
      <c r="A144" s="9"/>
      <c r="B144" s="46"/>
      <c r="C144" s="130">
        <f>Asset19</f>
        <v>0</v>
      </c>
      <c r="D144" s="9"/>
      <c r="E144" s="9"/>
      <c r="F144" s="142"/>
      <c r="G144" s="193"/>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13"/>
      <c r="BK144" s="213"/>
    </row>
    <row r="145" spans="1:63" ht="12.75" hidden="1" customHeight="1" outlineLevel="1">
      <c r="A145" s="9"/>
      <c r="B145" s="46"/>
      <c r="C145" s="155" t="s">
        <v>29</v>
      </c>
      <c r="D145" s="9"/>
      <c r="E145" s="9"/>
      <c r="F145" s="142"/>
      <c r="G145" s="193"/>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13"/>
      <c r="BK145" s="213"/>
    </row>
    <row r="146" spans="1:63" ht="12.75" hidden="1" customHeight="1" outlineLevel="1">
      <c r="A146" s="9"/>
      <c r="B146" s="46"/>
      <c r="C146" s="130">
        <f>Asset20</f>
        <v>0</v>
      </c>
      <c r="D146" s="9"/>
      <c r="E146" s="9"/>
      <c r="F146" s="142"/>
      <c r="G146" s="193"/>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13"/>
      <c r="BK146" s="213"/>
    </row>
    <row r="147" spans="1:63" ht="12.75" hidden="1" customHeight="1" outlineLevel="1">
      <c r="A147" s="9"/>
      <c r="B147" s="46"/>
      <c r="C147" s="155" t="s">
        <v>29</v>
      </c>
      <c r="D147" s="9"/>
      <c r="E147" s="9"/>
      <c r="F147" s="142"/>
      <c r="G147" s="193"/>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13"/>
      <c r="BK147" s="213"/>
    </row>
    <row r="148" spans="1:63" ht="12.75" hidden="1" customHeight="1" outlineLevel="1">
      <c r="A148" s="9"/>
      <c r="B148" s="46"/>
      <c r="C148" s="130">
        <f>Asset21</f>
        <v>0</v>
      </c>
      <c r="D148" s="9"/>
      <c r="E148" s="9"/>
      <c r="F148" s="142"/>
      <c r="G148" s="193"/>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13"/>
      <c r="BK148" s="213"/>
    </row>
    <row r="149" spans="1:63" ht="12.75" hidden="1" customHeight="1" outlineLevel="1">
      <c r="A149" s="9"/>
      <c r="B149" s="46"/>
      <c r="C149" s="155" t="s">
        <v>29</v>
      </c>
      <c r="D149" s="9"/>
      <c r="E149" s="9"/>
      <c r="F149" s="142"/>
      <c r="G149" s="193"/>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13"/>
      <c r="BK149" s="213"/>
    </row>
    <row r="150" spans="1:63" ht="12.75" hidden="1" customHeight="1" outlineLevel="1">
      <c r="A150" s="9"/>
      <c r="B150" s="46"/>
      <c r="C150" s="130">
        <f>Asset22</f>
        <v>0</v>
      </c>
      <c r="D150" s="9"/>
      <c r="E150" s="9"/>
      <c r="F150" s="142"/>
      <c r="G150" s="193"/>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13"/>
      <c r="BK150" s="213"/>
    </row>
    <row r="151" spans="1:63" ht="12.75" hidden="1" customHeight="1" outlineLevel="1">
      <c r="A151" s="9"/>
      <c r="B151" s="46"/>
      <c r="C151" s="155" t="s">
        <v>29</v>
      </c>
      <c r="D151" s="9"/>
      <c r="E151" s="9"/>
      <c r="F151" s="142"/>
      <c r="G151" s="193"/>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13"/>
      <c r="BK151" s="213"/>
    </row>
    <row r="152" spans="1:63" ht="12.75" hidden="1" customHeight="1" outlineLevel="1">
      <c r="A152" s="9"/>
      <c r="B152" s="46"/>
      <c r="C152" s="130">
        <f>Asset23</f>
        <v>0</v>
      </c>
      <c r="D152" s="9"/>
      <c r="E152" s="9"/>
      <c r="F152" s="142"/>
      <c r="G152" s="193"/>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13"/>
      <c r="BK152" s="213"/>
    </row>
    <row r="153" spans="1:63" ht="12.75" hidden="1" customHeight="1" outlineLevel="1">
      <c r="A153" s="9"/>
      <c r="B153" s="46"/>
      <c r="C153" s="155" t="s">
        <v>29</v>
      </c>
      <c r="D153" s="9"/>
      <c r="E153" s="9"/>
      <c r="F153" s="142"/>
      <c r="G153" s="193"/>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13"/>
      <c r="BK153" s="213"/>
    </row>
    <row r="154" spans="1:63" ht="12.75" hidden="1" customHeight="1" outlineLevel="1">
      <c r="A154" s="9"/>
      <c r="B154" s="46"/>
      <c r="C154" s="130">
        <f>Asset24</f>
        <v>0</v>
      </c>
      <c r="D154" s="9"/>
      <c r="E154" s="9"/>
      <c r="F154" s="142"/>
      <c r="G154" s="193"/>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13"/>
      <c r="BK154" s="213"/>
    </row>
    <row r="155" spans="1:63" ht="12.75" hidden="1" customHeight="1" outlineLevel="1">
      <c r="A155" s="9"/>
      <c r="B155" s="46"/>
      <c r="C155" s="155" t="s">
        <v>29</v>
      </c>
      <c r="D155" s="9"/>
      <c r="E155" s="9"/>
      <c r="F155" s="142"/>
      <c r="G155" s="193"/>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13"/>
      <c r="BK155" s="213"/>
    </row>
    <row r="156" spans="1:63" ht="12.75" hidden="1" customHeight="1" outlineLevel="1">
      <c r="A156" s="9"/>
      <c r="B156" s="46"/>
      <c r="C156" s="130">
        <f>Asset25</f>
        <v>0</v>
      </c>
      <c r="D156" s="9"/>
      <c r="E156" s="9"/>
      <c r="F156" s="142"/>
      <c r="G156" s="193"/>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13"/>
      <c r="BK156" s="213"/>
    </row>
    <row r="157" spans="1:63" ht="12.75" hidden="1" customHeight="1" outlineLevel="1">
      <c r="A157" s="9"/>
      <c r="B157" s="46"/>
      <c r="C157" s="155" t="s">
        <v>29</v>
      </c>
      <c r="D157" s="9"/>
      <c r="E157" s="9"/>
      <c r="F157" s="142"/>
      <c r="G157" s="193"/>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13"/>
      <c r="BK157" s="213"/>
    </row>
    <row r="158" spans="1:63" ht="12.75" hidden="1" customHeight="1" outlineLevel="1">
      <c r="A158" s="9"/>
      <c r="B158" s="46"/>
      <c r="C158" s="130">
        <f>Asset26</f>
        <v>0</v>
      </c>
      <c r="D158" s="9"/>
      <c r="E158" s="9"/>
      <c r="F158" s="142"/>
      <c r="G158" s="193"/>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13"/>
      <c r="BK158" s="213"/>
    </row>
    <row r="159" spans="1:63" ht="12.75" hidden="1" customHeight="1" outlineLevel="1">
      <c r="A159" s="9"/>
      <c r="B159" s="46"/>
      <c r="C159" s="155" t="s">
        <v>29</v>
      </c>
      <c r="D159" s="9"/>
      <c r="E159" s="9"/>
      <c r="F159" s="142"/>
      <c r="G159" s="193"/>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13"/>
      <c r="BK159" s="213"/>
    </row>
    <row r="160" spans="1:63" ht="12.75" hidden="1" customHeight="1" outlineLevel="1">
      <c r="A160" s="9"/>
      <c r="B160" s="46"/>
      <c r="C160" s="130">
        <f>Asset27</f>
        <v>0</v>
      </c>
      <c r="D160" s="9"/>
      <c r="E160" s="9"/>
      <c r="F160" s="142"/>
      <c r="G160" s="193"/>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13"/>
      <c r="BK160" s="213"/>
    </row>
    <row r="161" spans="1:63" ht="12.75" hidden="1" customHeight="1" outlineLevel="1">
      <c r="A161" s="9"/>
      <c r="B161" s="46"/>
      <c r="C161" s="155" t="s">
        <v>29</v>
      </c>
      <c r="D161" s="9"/>
      <c r="E161" s="9"/>
      <c r="F161" s="142"/>
      <c r="G161" s="193"/>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13"/>
      <c r="BK161" s="213"/>
    </row>
    <row r="162" spans="1:63" ht="12.75" hidden="1" customHeight="1" outlineLevel="1">
      <c r="A162" s="9"/>
      <c r="B162" s="46"/>
      <c r="C162" s="130">
        <f>Asset28</f>
        <v>0</v>
      </c>
      <c r="D162" s="9"/>
      <c r="E162" s="9"/>
      <c r="F162" s="142"/>
      <c r="G162" s="193"/>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13"/>
      <c r="BK162" s="213"/>
    </row>
    <row r="163" spans="1:63" ht="12.75" hidden="1" customHeight="1" outlineLevel="1">
      <c r="A163" s="9"/>
      <c r="B163" s="46"/>
      <c r="C163" s="155" t="s">
        <v>29</v>
      </c>
      <c r="D163" s="9"/>
      <c r="E163" s="9"/>
      <c r="F163" s="142"/>
      <c r="G163" s="193"/>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13"/>
      <c r="BK163" s="213"/>
    </row>
    <row r="164" spans="1:63" ht="12.75" hidden="1" customHeight="1" outlineLevel="1">
      <c r="A164" s="9"/>
      <c r="B164" s="46"/>
      <c r="C164" s="130">
        <f>Asset29</f>
        <v>0</v>
      </c>
      <c r="D164" s="9"/>
      <c r="E164" s="9"/>
      <c r="F164" s="142"/>
      <c r="G164" s="193"/>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13"/>
      <c r="BK164" s="213"/>
    </row>
    <row r="165" spans="1:63" ht="12.75" hidden="1" customHeight="1" outlineLevel="1">
      <c r="A165" s="9"/>
      <c r="B165" s="46"/>
      <c r="C165" s="155" t="s">
        <v>29</v>
      </c>
      <c r="D165" s="9"/>
      <c r="E165" s="9"/>
      <c r="F165" s="142"/>
      <c r="G165" s="193"/>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13"/>
      <c r="BK165" s="213"/>
    </row>
    <row r="166" spans="1:63" ht="12.75" hidden="1" customHeight="1" outlineLevel="1">
      <c r="A166" s="9"/>
      <c r="B166" s="46"/>
      <c r="C166" s="130">
        <f>Asset30</f>
        <v>0</v>
      </c>
      <c r="D166" s="9"/>
      <c r="E166" s="9"/>
      <c r="F166" s="142"/>
      <c r="G166" s="193"/>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13"/>
      <c r="BK166" s="213"/>
    </row>
    <row r="167" spans="1:63" ht="12.75" hidden="1" customHeight="1" outlineLevel="1">
      <c r="A167" s="9"/>
      <c r="B167" s="46"/>
      <c r="C167" s="155" t="s">
        <v>29</v>
      </c>
      <c r="D167" s="9"/>
      <c r="E167" s="9"/>
      <c r="F167" s="142"/>
      <c r="G167" s="193"/>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13"/>
      <c r="BK167" s="213"/>
    </row>
    <row r="168" spans="1:63" collapsed="1">
      <c r="A168" s="9"/>
      <c r="B168" s="186" t="s">
        <v>44</v>
      </c>
      <c r="D168" s="9"/>
      <c r="E168" s="9"/>
      <c r="F168" s="142"/>
      <c r="G168" s="195"/>
      <c r="H168" s="117"/>
      <c r="I168" s="117"/>
      <c r="J168" s="117"/>
      <c r="K168" s="117"/>
      <c r="L168" s="117">
        <f>IF(M107=0, SUM($G107:L107), 0)</f>
        <v>-12.223466150039185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1"/>
      <c r="S168" s="101"/>
      <c r="T168" s="101"/>
      <c r="U168" s="101"/>
      <c r="V168" s="101"/>
      <c r="W168" s="101"/>
      <c r="X168" s="101"/>
      <c r="Y168" s="101"/>
      <c r="Z168" s="101"/>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13"/>
      <c r="BK168" s="213"/>
    </row>
    <row r="169" spans="1:63">
      <c r="A169" s="9"/>
      <c r="B169" s="154"/>
      <c r="C169" s="26"/>
      <c r="D169" s="9"/>
      <c r="E169" s="9"/>
      <c r="F169" s="142"/>
      <c r="G169" s="117"/>
      <c r="H169" s="117"/>
      <c r="I169" s="117"/>
      <c r="J169" s="117"/>
      <c r="K169" s="117"/>
      <c r="L169" s="117"/>
      <c r="M169" s="9"/>
      <c r="N169" s="112"/>
      <c r="O169" s="153"/>
      <c r="P169" s="153"/>
      <c r="Q169" s="153"/>
      <c r="R169" s="101"/>
      <c r="S169" s="101"/>
      <c r="T169" s="101"/>
      <c r="U169" s="101"/>
      <c r="V169" s="101"/>
      <c r="W169" s="101"/>
      <c r="X169" s="101"/>
      <c r="Y169" s="101"/>
      <c r="Z169" s="101"/>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13"/>
      <c r="BK169" s="213"/>
    </row>
    <row r="170" spans="1:63">
      <c r="A170" s="74"/>
      <c r="B170" s="180" t="s">
        <v>54</v>
      </c>
      <c r="C170" s="181"/>
      <c r="D170" s="74"/>
      <c r="E170" s="74"/>
      <c r="F170" s="182"/>
      <c r="G170" s="183"/>
      <c r="H170" s="183"/>
      <c r="I170" s="183"/>
      <c r="J170" s="183"/>
      <c r="K170" s="183"/>
      <c r="L170" s="183"/>
      <c r="M170" s="74"/>
      <c r="N170" s="184"/>
      <c r="O170" s="185"/>
      <c r="P170" s="185"/>
      <c r="Q170" s="185"/>
      <c r="R170" s="185"/>
      <c r="S170" s="101"/>
      <c r="T170" s="101"/>
      <c r="U170" s="101"/>
      <c r="V170" s="101"/>
      <c r="W170" s="101"/>
      <c r="X170" s="101"/>
      <c r="Y170" s="101"/>
      <c r="Z170" s="101"/>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13"/>
      <c r="BK170" s="213"/>
    </row>
    <row r="171" spans="1:63">
      <c r="A171" s="9"/>
      <c r="B171" s="154"/>
      <c r="C171" s="26"/>
      <c r="D171" s="9"/>
      <c r="E171" s="9"/>
      <c r="F171" s="142"/>
      <c r="G171" s="117"/>
      <c r="H171" s="117"/>
      <c r="I171" s="117"/>
      <c r="J171" s="117"/>
      <c r="K171" s="117"/>
      <c r="L171" s="117"/>
      <c r="M171" s="9"/>
      <c r="N171" s="112"/>
      <c r="O171" s="153"/>
      <c r="P171" s="153"/>
      <c r="Q171" s="153"/>
      <c r="R171" s="101"/>
      <c r="S171" s="101"/>
      <c r="T171" s="101"/>
      <c r="U171" s="101"/>
      <c r="V171" s="101"/>
      <c r="W171" s="101"/>
      <c r="X171" s="101"/>
      <c r="Y171" s="101"/>
      <c r="Z171" s="101"/>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13"/>
      <c r="BK171" s="213"/>
    </row>
    <row r="172" spans="1:63">
      <c r="A172" s="9"/>
      <c r="B172" s="46" t="s">
        <v>55</v>
      </c>
      <c r="C172" s="9"/>
      <c r="D172" s="9"/>
      <c r="E172" s="9"/>
      <c r="F172" s="142"/>
      <c r="G172" s="195">
        <f>SUM(G173:G202)</f>
        <v>0</v>
      </c>
      <c r="H172" s="117"/>
      <c r="I172" s="117"/>
      <c r="J172" s="117"/>
      <c r="K172" s="117"/>
      <c r="L172" s="117"/>
      <c r="M172" s="9"/>
      <c r="N172" s="112"/>
      <c r="O172" s="153"/>
      <c r="P172" s="153"/>
      <c r="Q172" s="153"/>
      <c r="R172" s="101"/>
      <c r="S172" s="101"/>
      <c r="T172" s="101"/>
      <c r="U172" s="101"/>
      <c r="V172" s="101"/>
      <c r="W172" s="101"/>
      <c r="X172" s="101"/>
      <c r="Y172" s="101"/>
      <c r="Z172" s="101"/>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13"/>
      <c r="BK172" s="213"/>
    </row>
    <row r="173" spans="1:63" ht="12.75" hidden="1" customHeight="1" outlineLevel="1">
      <c r="A173" s="9"/>
      <c r="B173" s="9"/>
      <c r="C173" s="130" t="str">
        <f>Asset1</f>
        <v>Subtransmission</v>
      </c>
      <c r="D173" s="9"/>
      <c r="E173" s="9"/>
      <c r="F173" s="142"/>
      <c r="G173" s="193">
        <f>Input!Q7</f>
        <v>0</v>
      </c>
      <c r="H173" s="117"/>
      <c r="I173" s="117"/>
      <c r="J173" s="117"/>
      <c r="K173" s="117"/>
      <c r="L173" s="117"/>
      <c r="M173" s="9"/>
      <c r="N173" s="112"/>
      <c r="O173" s="153"/>
      <c r="P173" s="153"/>
      <c r="Q173" s="153"/>
      <c r="R173" s="101"/>
      <c r="S173" s="101"/>
      <c r="T173" s="101"/>
      <c r="U173" s="101"/>
      <c r="V173" s="101"/>
      <c r="W173" s="101"/>
      <c r="X173" s="101"/>
      <c r="Y173" s="101"/>
      <c r="Z173" s="101"/>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13"/>
      <c r="BK173" s="213"/>
    </row>
    <row r="174" spans="1:63" ht="12.75" hidden="1" customHeight="1" outlineLevel="1">
      <c r="A174" s="9"/>
      <c r="B174" s="46"/>
      <c r="C174" s="130" t="str">
        <f>Asset2</f>
        <v>Distribution system assets</v>
      </c>
      <c r="D174" s="9"/>
      <c r="E174" s="9"/>
      <c r="F174" s="142"/>
      <c r="G174" s="193">
        <f>Input!Q8</f>
        <v>0</v>
      </c>
      <c r="H174" s="117"/>
      <c r="I174" s="117"/>
      <c r="J174" s="117"/>
      <c r="K174" s="117"/>
      <c r="L174" s="117"/>
      <c r="M174" s="9"/>
      <c r="N174" s="112"/>
      <c r="O174" s="153"/>
      <c r="P174" s="153"/>
      <c r="Q174" s="153"/>
      <c r="R174" s="101"/>
      <c r="S174" s="101"/>
      <c r="T174" s="101"/>
      <c r="U174" s="101"/>
      <c r="V174" s="101"/>
      <c r="W174" s="101"/>
      <c r="X174" s="101"/>
      <c r="Y174" s="101"/>
      <c r="Z174" s="101"/>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13"/>
      <c r="BK174" s="213"/>
    </row>
    <row r="175" spans="1:63" ht="12.75" hidden="1" customHeight="1" outlineLevel="1">
      <c r="A175" s="9"/>
      <c r="B175" s="46"/>
      <c r="C175" s="130" t="str">
        <f>Asset3</f>
        <v>Standard metering</v>
      </c>
      <c r="D175" s="9"/>
      <c r="E175" s="9"/>
      <c r="F175" s="142"/>
      <c r="G175" s="193">
        <f>Input!Q9</f>
        <v>0</v>
      </c>
      <c r="H175" s="117"/>
      <c r="I175" s="117"/>
      <c r="J175" s="117"/>
      <c r="K175" s="117"/>
      <c r="L175" s="117"/>
      <c r="M175" s="9"/>
      <c r="N175" s="112"/>
      <c r="O175" s="153"/>
      <c r="P175" s="153"/>
      <c r="Q175" s="153"/>
      <c r="R175" s="101"/>
      <c r="S175" s="101"/>
      <c r="T175" s="101"/>
      <c r="U175" s="101"/>
      <c r="V175" s="101"/>
      <c r="W175" s="101"/>
      <c r="X175" s="101"/>
      <c r="Y175" s="101"/>
      <c r="Z175" s="101"/>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13"/>
      <c r="BK175" s="213"/>
    </row>
    <row r="176" spans="1:63" ht="12.75" hidden="1" customHeight="1" outlineLevel="1">
      <c r="A176" s="9"/>
      <c r="B176" s="46"/>
      <c r="C176" s="130" t="str">
        <f>Asset4</f>
        <v>Public lighting</v>
      </c>
      <c r="D176" s="9"/>
      <c r="E176" s="9"/>
      <c r="F176" s="142"/>
      <c r="G176" s="193">
        <f>Input!Q10</f>
        <v>0</v>
      </c>
      <c r="H176" s="117"/>
      <c r="I176" s="117"/>
      <c r="J176" s="117"/>
      <c r="K176" s="117"/>
      <c r="L176" s="117"/>
      <c r="M176" s="9"/>
      <c r="N176" s="112"/>
      <c r="O176" s="153"/>
      <c r="P176" s="153"/>
      <c r="Q176" s="153"/>
      <c r="R176" s="101"/>
      <c r="S176" s="101"/>
      <c r="T176" s="101"/>
      <c r="U176" s="101"/>
      <c r="V176" s="101"/>
      <c r="W176" s="101"/>
      <c r="X176" s="101"/>
      <c r="Y176" s="101"/>
      <c r="Z176" s="101"/>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13"/>
      <c r="BK176" s="213"/>
    </row>
    <row r="177" spans="1:63" ht="12.75" hidden="1" customHeight="1" outlineLevel="1">
      <c r="A177" s="9"/>
      <c r="B177" s="46"/>
      <c r="C177" s="130" t="str">
        <f>Asset5</f>
        <v>SCADA/Network control</v>
      </c>
      <c r="D177" s="9"/>
      <c r="E177" s="9"/>
      <c r="F177" s="142"/>
      <c r="G177" s="193">
        <f>Input!Q11</f>
        <v>0</v>
      </c>
      <c r="H177" s="117"/>
      <c r="I177" s="117"/>
      <c r="J177" s="117"/>
      <c r="K177" s="117"/>
      <c r="L177" s="117"/>
      <c r="M177" s="9"/>
      <c r="N177" s="112"/>
      <c r="O177" s="153"/>
      <c r="P177" s="153"/>
      <c r="Q177" s="153"/>
      <c r="R177" s="101"/>
      <c r="S177" s="101"/>
      <c r="T177" s="101"/>
      <c r="U177" s="101"/>
      <c r="V177" s="101"/>
      <c r="W177" s="101"/>
      <c r="X177" s="101"/>
      <c r="Y177" s="101"/>
      <c r="Z177" s="101"/>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13"/>
      <c r="BK177" s="213"/>
    </row>
    <row r="178" spans="1:63" ht="12.75" hidden="1" customHeight="1" outlineLevel="1">
      <c r="A178" s="9"/>
      <c r="B178" s="46"/>
      <c r="C178" s="130" t="str">
        <f>Asset6</f>
        <v>Non-network general assets - IT</v>
      </c>
      <c r="D178" s="9"/>
      <c r="E178" s="9"/>
      <c r="F178" s="142"/>
      <c r="G178" s="193">
        <f>Input!Q12</f>
        <v>0</v>
      </c>
      <c r="H178" s="117"/>
      <c r="I178" s="117"/>
      <c r="J178" s="117"/>
      <c r="K178" s="117"/>
      <c r="L178" s="117"/>
      <c r="M178" s="9"/>
      <c r="N178" s="112"/>
      <c r="O178" s="153"/>
      <c r="P178" s="153"/>
      <c r="Q178" s="153"/>
      <c r="R178" s="101"/>
      <c r="S178" s="101"/>
      <c r="T178" s="101"/>
      <c r="U178" s="101"/>
      <c r="V178" s="101"/>
      <c r="W178" s="101"/>
      <c r="X178" s="101"/>
      <c r="Y178" s="101"/>
      <c r="Z178" s="101"/>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13"/>
      <c r="BK178" s="213"/>
    </row>
    <row r="179" spans="1:63" ht="12.75" hidden="1" customHeight="1" outlineLevel="1">
      <c r="A179" s="9"/>
      <c r="B179" s="46"/>
      <c r="C179" s="130" t="str">
        <f>Asset7</f>
        <v>Non-network general assets - Other</v>
      </c>
      <c r="D179" s="9"/>
      <c r="E179" s="9"/>
      <c r="F179" s="142"/>
      <c r="G179" s="193">
        <f>Input!Q13</f>
        <v>0</v>
      </c>
      <c r="H179" s="117"/>
      <c r="I179" s="117"/>
      <c r="J179" s="117"/>
      <c r="K179" s="117"/>
      <c r="L179" s="117"/>
      <c r="M179" s="9"/>
      <c r="N179" s="112"/>
      <c r="O179" s="153"/>
      <c r="P179" s="153"/>
      <c r="Q179" s="153"/>
      <c r="R179" s="101"/>
      <c r="S179" s="101"/>
      <c r="T179" s="101"/>
      <c r="U179" s="101"/>
      <c r="V179" s="101"/>
      <c r="W179" s="101"/>
      <c r="X179" s="101"/>
      <c r="Y179" s="101"/>
      <c r="Z179" s="101"/>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13"/>
      <c r="BK179" s="213"/>
    </row>
    <row r="180" spans="1:63" ht="12.75" hidden="1" customHeight="1" outlineLevel="1">
      <c r="A180" s="9"/>
      <c r="B180" s="46"/>
      <c r="C180" s="130" t="str">
        <f>Asset8</f>
        <v>VBRC</v>
      </c>
      <c r="D180" s="9"/>
      <c r="E180" s="9"/>
      <c r="F180" s="142"/>
      <c r="G180" s="193">
        <f>Input!Q14</f>
        <v>0</v>
      </c>
      <c r="H180" s="117"/>
      <c r="I180" s="117"/>
      <c r="J180" s="117"/>
      <c r="K180" s="117"/>
      <c r="L180" s="117"/>
      <c r="M180" s="9"/>
      <c r="N180" s="112"/>
      <c r="O180" s="153"/>
      <c r="P180" s="153"/>
      <c r="Q180" s="153"/>
      <c r="R180" s="101"/>
      <c r="S180" s="101"/>
      <c r="T180" s="101"/>
      <c r="U180" s="101"/>
      <c r="V180" s="101"/>
      <c r="W180" s="101"/>
      <c r="X180" s="101"/>
      <c r="Y180" s="101"/>
      <c r="Z180" s="101"/>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13"/>
      <c r="BK180" s="213"/>
    </row>
    <row r="181" spans="1:63" ht="12.75" hidden="1" customHeight="1" outlineLevel="1">
      <c r="A181" s="9"/>
      <c r="B181" s="46"/>
      <c r="C181" s="130" t="str">
        <f>Asset9</f>
        <v>Equity raising</v>
      </c>
      <c r="D181" s="9"/>
      <c r="E181" s="9"/>
      <c r="F181" s="142"/>
      <c r="G181" s="193">
        <f>Input!Q15</f>
        <v>0</v>
      </c>
      <c r="H181" s="117"/>
      <c r="I181" s="117"/>
      <c r="J181" s="117"/>
      <c r="K181" s="117"/>
      <c r="L181" s="117"/>
      <c r="M181" s="9"/>
      <c r="N181" s="112"/>
      <c r="O181" s="153"/>
      <c r="P181" s="153"/>
      <c r="Q181" s="153"/>
      <c r="R181" s="101"/>
      <c r="S181" s="101"/>
      <c r="T181" s="101"/>
      <c r="U181" s="101"/>
      <c r="V181" s="101"/>
      <c r="W181" s="101"/>
      <c r="X181" s="101"/>
      <c r="Y181" s="101"/>
      <c r="Z181" s="101"/>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13"/>
      <c r="BK181" s="213"/>
    </row>
    <row r="182" spans="1:63" ht="12.75" hidden="1" customHeight="1" outlineLevel="1">
      <c r="A182" s="9"/>
      <c r="B182" s="46"/>
      <c r="C182" s="130">
        <f>Asset10</f>
        <v>0</v>
      </c>
      <c r="D182" s="9"/>
      <c r="E182" s="9"/>
      <c r="F182" s="142"/>
      <c r="G182" s="193">
        <f>Input!Q16</f>
        <v>0</v>
      </c>
      <c r="H182" s="117"/>
      <c r="I182" s="117"/>
      <c r="J182" s="117"/>
      <c r="K182" s="117"/>
      <c r="L182" s="117"/>
      <c r="M182" s="9"/>
      <c r="N182" s="112"/>
      <c r="O182" s="153"/>
      <c r="P182" s="153"/>
      <c r="Q182" s="153"/>
      <c r="R182" s="101"/>
      <c r="S182" s="101"/>
      <c r="T182" s="101"/>
      <c r="U182" s="101"/>
      <c r="V182" s="101"/>
      <c r="W182" s="101"/>
      <c r="X182" s="101"/>
      <c r="Y182" s="101"/>
      <c r="Z182" s="101"/>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13"/>
      <c r="BK182" s="213"/>
    </row>
    <row r="183" spans="1:63" ht="12.75" hidden="1" customHeight="1" outlineLevel="1">
      <c r="A183" s="9"/>
      <c r="B183" s="46"/>
      <c r="C183" s="130">
        <f>Asset11</f>
        <v>0</v>
      </c>
      <c r="D183" s="9"/>
      <c r="E183" s="9"/>
      <c r="F183" s="142"/>
      <c r="G183" s="193">
        <f>Input!Q17</f>
        <v>0</v>
      </c>
      <c r="H183" s="117"/>
      <c r="I183" s="117"/>
      <c r="J183" s="117"/>
      <c r="K183" s="117"/>
      <c r="L183" s="117"/>
      <c r="M183" s="9"/>
      <c r="N183" s="112"/>
      <c r="O183" s="153"/>
      <c r="P183" s="153"/>
      <c r="Q183" s="153"/>
      <c r="R183" s="101"/>
      <c r="S183" s="101"/>
      <c r="T183" s="101"/>
      <c r="U183" s="101"/>
      <c r="V183" s="101"/>
      <c r="W183" s="101"/>
      <c r="X183" s="101"/>
      <c r="Y183" s="101"/>
      <c r="Z183" s="101"/>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13"/>
      <c r="BK183" s="213"/>
    </row>
    <row r="184" spans="1:63" ht="12.75" hidden="1" customHeight="1" outlineLevel="1">
      <c r="A184" s="9"/>
      <c r="B184" s="46"/>
      <c r="C184" s="130">
        <f>Asset12</f>
        <v>0</v>
      </c>
      <c r="D184" s="9"/>
      <c r="E184" s="9"/>
      <c r="F184" s="142"/>
      <c r="G184" s="193">
        <f>Input!Q18</f>
        <v>0</v>
      </c>
      <c r="H184" s="117"/>
      <c r="I184" s="117"/>
      <c r="J184" s="117"/>
      <c r="K184" s="117"/>
      <c r="L184" s="117"/>
      <c r="M184" s="9"/>
      <c r="N184" s="112"/>
      <c r="O184" s="153"/>
      <c r="P184" s="153"/>
      <c r="Q184" s="153"/>
      <c r="R184" s="101"/>
      <c r="S184" s="101"/>
      <c r="T184" s="101"/>
      <c r="U184" s="101"/>
      <c r="V184" s="101"/>
      <c r="W184" s="101"/>
      <c r="X184" s="101"/>
      <c r="Y184" s="101"/>
      <c r="Z184" s="101"/>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13"/>
      <c r="BK184" s="213"/>
    </row>
    <row r="185" spans="1:63" ht="12.75" hidden="1" customHeight="1" outlineLevel="1">
      <c r="A185" s="9"/>
      <c r="B185" s="46"/>
      <c r="C185" s="130">
        <f>Asset13</f>
        <v>0</v>
      </c>
      <c r="D185" s="9"/>
      <c r="E185" s="9"/>
      <c r="F185" s="142"/>
      <c r="G185" s="193">
        <f>Input!Q19</f>
        <v>0</v>
      </c>
      <c r="H185" s="117"/>
      <c r="I185" s="117"/>
      <c r="J185" s="117"/>
      <c r="K185" s="117"/>
      <c r="L185" s="117"/>
      <c r="M185" s="9"/>
      <c r="N185" s="112"/>
      <c r="O185" s="153"/>
      <c r="P185" s="153"/>
      <c r="Q185" s="153"/>
      <c r="R185" s="101"/>
      <c r="S185" s="101"/>
      <c r="T185" s="101"/>
      <c r="U185" s="101"/>
      <c r="V185" s="101"/>
      <c r="W185" s="101"/>
      <c r="X185" s="101"/>
      <c r="Y185" s="101"/>
      <c r="Z185" s="101"/>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13"/>
      <c r="BK185" s="213"/>
    </row>
    <row r="186" spans="1:63" ht="12.75" hidden="1" customHeight="1" outlineLevel="1">
      <c r="A186" s="9"/>
      <c r="B186" s="46"/>
      <c r="C186" s="130">
        <f>Asset14</f>
        <v>0</v>
      </c>
      <c r="D186" s="9"/>
      <c r="E186" s="9"/>
      <c r="F186" s="142"/>
      <c r="G186" s="193">
        <f>Input!Q20</f>
        <v>0</v>
      </c>
      <c r="H186" s="117"/>
      <c r="I186" s="117"/>
      <c r="J186" s="117"/>
      <c r="K186" s="117"/>
      <c r="L186" s="117"/>
      <c r="M186" s="9"/>
      <c r="N186" s="112"/>
      <c r="O186" s="153"/>
      <c r="P186" s="153"/>
      <c r="Q186" s="153"/>
      <c r="R186" s="101"/>
      <c r="S186" s="101"/>
      <c r="T186" s="101"/>
      <c r="U186" s="101"/>
      <c r="V186" s="101"/>
      <c r="W186" s="101"/>
      <c r="X186" s="101"/>
      <c r="Y186" s="101"/>
      <c r="Z186" s="101"/>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13"/>
      <c r="BK186" s="213"/>
    </row>
    <row r="187" spans="1:63" ht="12.75" hidden="1" customHeight="1" outlineLevel="1">
      <c r="A187" s="9"/>
      <c r="B187" s="46"/>
      <c r="C187" s="130">
        <f>Asset15</f>
        <v>0</v>
      </c>
      <c r="D187" s="9"/>
      <c r="E187" s="9"/>
      <c r="F187" s="142"/>
      <c r="G187" s="193">
        <f>Input!Q21</f>
        <v>0</v>
      </c>
      <c r="H187" s="117"/>
      <c r="I187" s="117"/>
      <c r="J187" s="117"/>
      <c r="K187" s="117"/>
      <c r="L187" s="117"/>
      <c r="M187" s="9"/>
      <c r="N187" s="112"/>
      <c r="O187" s="153"/>
      <c r="P187" s="153"/>
      <c r="Q187" s="153"/>
      <c r="R187" s="101"/>
      <c r="S187" s="101"/>
      <c r="T187" s="101"/>
      <c r="U187" s="101"/>
      <c r="V187" s="101"/>
      <c r="W187" s="101"/>
      <c r="X187" s="101"/>
      <c r="Y187" s="101"/>
      <c r="Z187" s="101"/>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13"/>
      <c r="BK187" s="213"/>
    </row>
    <row r="188" spans="1:63" ht="12.75" hidden="1" customHeight="1" outlineLevel="1">
      <c r="A188" s="9"/>
      <c r="B188" s="46"/>
      <c r="C188" s="130">
        <f>Asset16</f>
        <v>0</v>
      </c>
      <c r="D188" s="9"/>
      <c r="E188" s="9"/>
      <c r="F188" s="142"/>
      <c r="G188" s="193">
        <f>Input!Q22</f>
        <v>0</v>
      </c>
      <c r="H188" s="117"/>
      <c r="I188" s="117"/>
      <c r="J188" s="117"/>
      <c r="K188" s="117"/>
      <c r="L188" s="117"/>
      <c r="M188" s="9"/>
      <c r="N188" s="112"/>
      <c r="O188" s="153"/>
      <c r="P188" s="153"/>
      <c r="Q188" s="153"/>
      <c r="R188" s="101"/>
      <c r="S188" s="101"/>
      <c r="T188" s="101"/>
      <c r="U188" s="101"/>
      <c r="V188" s="101"/>
      <c r="W188" s="101"/>
      <c r="X188" s="101"/>
      <c r="Y188" s="101"/>
      <c r="Z188" s="101"/>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13"/>
      <c r="BK188" s="213"/>
    </row>
    <row r="189" spans="1:63" ht="12.75" hidden="1" customHeight="1" outlineLevel="1">
      <c r="A189" s="9"/>
      <c r="B189" s="46"/>
      <c r="C189" s="130">
        <f>Asset17</f>
        <v>0</v>
      </c>
      <c r="D189" s="9"/>
      <c r="E189" s="9"/>
      <c r="F189" s="142"/>
      <c r="G189" s="193">
        <f>Input!Q23</f>
        <v>0</v>
      </c>
      <c r="H189" s="117"/>
      <c r="I189" s="117"/>
      <c r="J189" s="117"/>
      <c r="K189" s="117"/>
      <c r="L189" s="117"/>
      <c r="M189" s="9"/>
      <c r="N189" s="112"/>
      <c r="O189" s="153"/>
      <c r="P189" s="153"/>
      <c r="Q189" s="153"/>
      <c r="R189" s="101"/>
      <c r="S189" s="101"/>
      <c r="T189" s="101"/>
      <c r="U189" s="101"/>
      <c r="V189" s="101"/>
      <c r="W189" s="101"/>
      <c r="X189" s="101"/>
      <c r="Y189" s="101"/>
      <c r="Z189" s="101"/>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13"/>
      <c r="BK189" s="213"/>
    </row>
    <row r="190" spans="1:63" ht="12.75" hidden="1" customHeight="1" outlineLevel="1">
      <c r="A190" s="9"/>
      <c r="B190" s="46"/>
      <c r="C190" s="130">
        <f>Asset18</f>
        <v>0</v>
      </c>
      <c r="D190" s="9"/>
      <c r="E190" s="9"/>
      <c r="F190" s="142"/>
      <c r="G190" s="193">
        <f>Input!Q24</f>
        <v>0</v>
      </c>
      <c r="H190" s="117"/>
      <c r="I190" s="117"/>
      <c r="J190" s="117"/>
      <c r="K190" s="117"/>
      <c r="L190" s="117"/>
      <c r="M190" s="9"/>
      <c r="N190" s="112"/>
      <c r="O190" s="153"/>
      <c r="P190" s="153"/>
      <c r="Q190" s="153"/>
      <c r="R190" s="101"/>
      <c r="S190" s="101"/>
      <c r="T190" s="101"/>
      <c r="U190" s="101"/>
      <c r="V190" s="101"/>
      <c r="W190" s="101"/>
      <c r="X190" s="101"/>
      <c r="Y190" s="101"/>
      <c r="Z190" s="101"/>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13"/>
      <c r="BK190" s="213"/>
    </row>
    <row r="191" spans="1:63" ht="12.75" hidden="1" customHeight="1" outlineLevel="1">
      <c r="A191" s="9"/>
      <c r="B191" s="46"/>
      <c r="C191" s="130">
        <f>Asset19</f>
        <v>0</v>
      </c>
      <c r="D191" s="9"/>
      <c r="E191" s="9"/>
      <c r="F191" s="142"/>
      <c r="G191" s="193">
        <f>Input!Q25</f>
        <v>0</v>
      </c>
      <c r="H191" s="117"/>
      <c r="I191" s="117"/>
      <c r="J191" s="117"/>
      <c r="K191" s="117"/>
      <c r="L191" s="117"/>
      <c r="M191" s="9"/>
      <c r="N191" s="112"/>
      <c r="O191" s="153"/>
      <c r="P191" s="153"/>
      <c r="Q191" s="153"/>
      <c r="R191" s="101"/>
      <c r="S191" s="101"/>
      <c r="T191" s="101"/>
      <c r="U191" s="101"/>
      <c r="V191" s="101"/>
      <c r="W191" s="101"/>
      <c r="X191" s="101"/>
      <c r="Y191" s="101"/>
      <c r="Z191" s="101"/>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13"/>
      <c r="BK191" s="213"/>
    </row>
    <row r="192" spans="1:63" ht="12.75" hidden="1" customHeight="1" outlineLevel="1">
      <c r="A192" s="9"/>
      <c r="B192" s="46"/>
      <c r="C192" s="130">
        <f>Asset20</f>
        <v>0</v>
      </c>
      <c r="D192" s="9"/>
      <c r="E192" s="9"/>
      <c r="F192" s="142"/>
      <c r="G192" s="193">
        <f>Input!Q26</f>
        <v>0</v>
      </c>
      <c r="H192" s="117"/>
      <c r="I192" s="117"/>
      <c r="J192" s="117"/>
      <c r="K192" s="117"/>
      <c r="L192" s="117"/>
      <c r="M192" s="9"/>
      <c r="N192" s="112"/>
      <c r="O192" s="153"/>
      <c r="P192" s="153"/>
      <c r="Q192" s="153"/>
      <c r="R192" s="101"/>
      <c r="S192" s="101"/>
      <c r="T192" s="101"/>
      <c r="U192" s="101"/>
      <c r="V192" s="101"/>
      <c r="W192" s="101"/>
      <c r="X192" s="101"/>
      <c r="Y192" s="101"/>
      <c r="Z192" s="101"/>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13"/>
      <c r="BK192" s="213"/>
    </row>
    <row r="193" spans="1:63" ht="12.75" hidden="1" customHeight="1" outlineLevel="1">
      <c r="A193" s="9"/>
      <c r="B193" s="46"/>
      <c r="C193" s="130">
        <f>Asset21</f>
        <v>0</v>
      </c>
      <c r="D193" s="9"/>
      <c r="E193" s="9"/>
      <c r="F193" s="142"/>
      <c r="G193" s="193">
        <f>Input!Q27</f>
        <v>0</v>
      </c>
      <c r="H193" s="117"/>
      <c r="I193" s="117"/>
      <c r="J193" s="117"/>
      <c r="K193" s="117"/>
      <c r="L193" s="117"/>
      <c r="M193" s="9"/>
      <c r="N193" s="112"/>
      <c r="O193" s="153"/>
      <c r="P193" s="153"/>
      <c r="Q193" s="153"/>
      <c r="R193" s="101"/>
      <c r="S193" s="101"/>
      <c r="T193" s="101"/>
      <c r="U193" s="101"/>
      <c r="V193" s="101"/>
      <c r="W193" s="101"/>
      <c r="X193" s="101"/>
      <c r="Y193" s="101"/>
      <c r="Z193" s="101"/>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13"/>
      <c r="BK193" s="213"/>
    </row>
    <row r="194" spans="1:63" ht="12.75" hidden="1" customHeight="1" outlineLevel="1">
      <c r="A194" s="9"/>
      <c r="B194" s="46"/>
      <c r="C194" s="130">
        <f>Asset22</f>
        <v>0</v>
      </c>
      <c r="D194" s="9"/>
      <c r="E194" s="9"/>
      <c r="F194" s="142"/>
      <c r="G194" s="193">
        <f>Input!Q28</f>
        <v>0</v>
      </c>
      <c r="H194" s="117"/>
      <c r="I194" s="117"/>
      <c r="J194" s="117"/>
      <c r="K194" s="117"/>
      <c r="L194" s="117"/>
      <c r="M194" s="9"/>
      <c r="N194" s="112"/>
      <c r="O194" s="153"/>
      <c r="P194" s="153"/>
      <c r="Q194" s="153"/>
      <c r="R194" s="101"/>
      <c r="S194" s="101"/>
      <c r="T194" s="101"/>
      <c r="U194" s="101"/>
      <c r="V194" s="101"/>
      <c r="W194" s="101"/>
      <c r="X194" s="101"/>
      <c r="Y194" s="101"/>
      <c r="Z194" s="101"/>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13"/>
      <c r="BK194" s="213"/>
    </row>
    <row r="195" spans="1:63" ht="12.75" hidden="1" customHeight="1" outlineLevel="1">
      <c r="A195" s="9"/>
      <c r="B195" s="46"/>
      <c r="C195" s="130">
        <f>Asset23</f>
        <v>0</v>
      </c>
      <c r="D195" s="9"/>
      <c r="E195" s="9"/>
      <c r="F195" s="142"/>
      <c r="G195" s="193">
        <f>Input!Q29</f>
        <v>0</v>
      </c>
      <c r="H195" s="117"/>
      <c r="I195" s="117"/>
      <c r="J195" s="117"/>
      <c r="K195" s="117"/>
      <c r="L195" s="117"/>
      <c r="M195" s="9"/>
      <c r="N195" s="112"/>
      <c r="O195" s="153"/>
      <c r="P195" s="153"/>
      <c r="Q195" s="153"/>
      <c r="R195" s="101"/>
      <c r="S195" s="101"/>
      <c r="T195" s="101"/>
      <c r="U195" s="101"/>
      <c r="V195" s="101"/>
      <c r="W195" s="101"/>
      <c r="X195" s="101"/>
      <c r="Y195" s="101"/>
      <c r="Z195" s="101"/>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13"/>
      <c r="BK195" s="213"/>
    </row>
    <row r="196" spans="1:63" ht="12.75" hidden="1" customHeight="1" outlineLevel="1">
      <c r="A196" s="9"/>
      <c r="B196" s="46"/>
      <c r="C196" s="130">
        <f>Asset24</f>
        <v>0</v>
      </c>
      <c r="D196" s="9"/>
      <c r="E196" s="9"/>
      <c r="F196" s="142"/>
      <c r="G196" s="193">
        <f>Input!Q30</f>
        <v>0</v>
      </c>
      <c r="H196" s="117"/>
      <c r="I196" s="117"/>
      <c r="J196" s="117"/>
      <c r="K196" s="117"/>
      <c r="L196" s="117"/>
      <c r="M196" s="9"/>
      <c r="N196" s="112"/>
      <c r="O196" s="153"/>
      <c r="P196" s="153"/>
      <c r="Q196" s="153"/>
      <c r="R196" s="101"/>
      <c r="S196" s="101"/>
      <c r="T196" s="101"/>
      <c r="U196" s="101"/>
      <c r="V196" s="101"/>
      <c r="W196" s="101"/>
      <c r="X196" s="101"/>
      <c r="Y196" s="101"/>
      <c r="Z196" s="101"/>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13"/>
      <c r="BK196" s="213"/>
    </row>
    <row r="197" spans="1:63" ht="12.75" hidden="1" customHeight="1" outlineLevel="1">
      <c r="A197" s="9"/>
      <c r="B197" s="46"/>
      <c r="C197" s="130">
        <f>Asset25</f>
        <v>0</v>
      </c>
      <c r="D197" s="9"/>
      <c r="E197" s="9"/>
      <c r="F197" s="142"/>
      <c r="G197" s="193">
        <f>Input!Q31</f>
        <v>0</v>
      </c>
      <c r="H197" s="117"/>
      <c r="I197" s="117"/>
      <c r="J197" s="117"/>
      <c r="K197" s="117"/>
      <c r="L197" s="117"/>
      <c r="M197" s="9"/>
      <c r="N197" s="112"/>
      <c r="O197" s="153"/>
      <c r="P197" s="153"/>
      <c r="Q197" s="153"/>
      <c r="R197" s="101"/>
      <c r="S197" s="101"/>
      <c r="T197" s="101"/>
      <c r="U197" s="101"/>
      <c r="V197" s="101"/>
      <c r="W197" s="101"/>
      <c r="X197" s="101"/>
      <c r="Y197" s="101"/>
      <c r="Z197" s="101"/>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13"/>
      <c r="BK197" s="213"/>
    </row>
    <row r="198" spans="1:63" ht="12.75" hidden="1" customHeight="1" outlineLevel="1">
      <c r="A198" s="9"/>
      <c r="B198" s="46"/>
      <c r="C198" s="130">
        <f>Asset26</f>
        <v>0</v>
      </c>
      <c r="D198" s="9"/>
      <c r="E198" s="9"/>
      <c r="F198" s="142"/>
      <c r="G198" s="193">
        <f>Input!Q32</f>
        <v>0</v>
      </c>
      <c r="H198" s="117"/>
      <c r="I198" s="117"/>
      <c r="J198" s="117"/>
      <c r="K198" s="117"/>
      <c r="L198" s="117"/>
      <c r="M198" s="9"/>
      <c r="N198" s="112"/>
      <c r="O198" s="153"/>
      <c r="P198" s="153"/>
      <c r="Q198" s="153"/>
      <c r="R198" s="101"/>
      <c r="S198" s="101"/>
      <c r="T198" s="101"/>
      <c r="U198" s="101"/>
      <c r="V198" s="101"/>
      <c r="W198" s="101"/>
      <c r="X198" s="101"/>
      <c r="Y198" s="101"/>
      <c r="Z198" s="101"/>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13"/>
      <c r="BK198" s="213"/>
    </row>
    <row r="199" spans="1:63" ht="12.75" hidden="1" customHeight="1" outlineLevel="1">
      <c r="A199" s="9"/>
      <c r="B199" s="46"/>
      <c r="C199" s="130">
        <f>Asset27</f>
        <v>0</v>
      </c>
      <c r="D199" s="9"/>
      <c r="E199" s="9"/>
      <c r="F199" s="142"/>
      <c r="G199" s="193">
        <f>Input!Q33</f>
        <v>0</v>
      </c>
      <c r="H199" s="117"/>
      <c r="I199" s="117"/>
      <c r="J199" s="117"/>
      <c r="K199" s="117"/>
      <c r="L199" s="117"/>
      <c r="M199" s="9"/>
      <c r="N199" s="112"/>
      <c r="O199" s="153"/>
      <c r="P199" s="153"/>
      <c r="Q199" s="153"/>
      <c r="R199" s="101"/>
      <c r="S199" s="101"/>
      <c r="T199" s="101"/>
      <c r="U199" s="101"/>
      <c r="V199" s="101"/>
      <c r="W199" s="101"/>
      <c r="X199" s="101"/>
      <c r="Y199" s="101"/>
      <c r="Z199" s="101"/>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13"/>
      <c r="BK199" s="213"/>
    </row>
    <row r="200" spans="1:63" ht="12.75" hidden="1" customHeight="1" outlineLevel="1">
      <c r="A200" s="9"/>
      <c r="B200" s="46"/>
      <c r="C200" s="130">
        <f>Asset28</f>
        <v>0</v>
      </c>
      <c r="D200" s="9"/>
      <c r="E200" s="9"/>
      <c r="F200" s="142"/>
      <c r="G200" s="193">
        <f>Input!Q34</f>
        <v>0</v>
      </c>
      <c r="H200" s="117"/>
      <c r="I200" s="117"/>
      <c r="J200" s="117"/>
      <c r="K200" s="117"/>
      <c r="L200" s="117"/>
      <c r="M200" s="9"/>
      <c r="N200" s="112"/>
      <c r="O200" s="153"/>
      <c r="P200" s="153"/>
      <c r="Q200" s="153"/>
      <c r="R200" s="101"/>
      <c r="S200" s="101"/>
      <c r="T200" s="101"/>
      <c r="U200" s="101"/>
      <c r="V200" s="101"/>
      <c r="W200" s="101"/>
      <c r="X200" s="101"/>
      <c r="Y200" s="101"/>
      <c r="Z200" s="101"/>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13"/>
      <c r="BK200" s="213"/>
    </row>
    <row r="201" spans="1:63" ht="12.75" hidden="1" customHeight="1" outlineLevel="1">
      <c r="A201" s="9"/>
      <c r="B201" s="46"/>
      <c r="C201" s="130">
        <f>Asset29</f>
        <v>0</v>
      </c>
      <c r="D201" s="9"/>
      <c r="E201" s="9"/>
      <c r="F201" s="142"/>
      <c r="G201" s="193">
        <f>Input!Q35</f>
        <v>0</v>
      </c>
      <c r="H201" s="117"/>
      <c r="I201" s="117"/>
      <c r="J201" s="117"/>
      <c r="K201" s="117"/>
      <c r="L201" s="117"/>
      <c r="M201" s="9"/>
      <c r="N201" s="112"/>
      <c r="O201" s="153"/>
      <c r="P201" s="153"/>
      <c r="Q201" s="153"/>
      <c r="R201" s="101"/>
      <c r="S201" s="101"/>
      <c r="T201" s="101"/>
      <c r="U201" s="101"/>
      <c r="V201" s="101"/>
      <c r="W201" s="101"/>
      <c r="X201" s="101"/>
      <c r="Y201" s="101"/>
      <c r="Z201" s="101"/>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13"/>
      <c r="BK201" s="213"/>
    </row>
    <row r="202" spans="1:63" ht="12.75" hidden="1" customHeight="1" outlineLevel="1">
      <c r="A202" s="9"/>
      <c r="B202" s="46"/>
      <c r="C202" s="130">
        <f>Asset30</f>
        <v>0</v>
      </c>
      <c r="D202" s="9"/>
      <c r="E202" s="9"/>
      <c r="F202" s="142"/>
      <c r="G202" s="193">
        <f>Input!Q36</f>
        <v>0</v>
      </c>
      <c r="H202" s="117"/>
      <c r="I202" s="117"/>
      <c r="J202" s="117"/>
      <c r="K202" s="117"/>
      <c r="L202" s="117"/>
      <c r="M202" s="9"/>
      <c r="N202" s="112"/>
      <c r="O202" s="153"/>
      <c r="P202" s="153"/>
      <c r="Q202" s="153"/>
      <c r="R202" s="101"/>
      <c r="S202" s="101"/>
      <c r="T202" s="101"/>
      <c r="U202" s="101"/>
      <c r="V202" s="101"/>
      <c r="W202" s="101"/>
      <c r="X202" s="101"/>
      <c r="Y202" s="101"/>
      <c r="Z202" s="101"/>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13"/>
      <c r="BK202" s="213"/>
    </row>
    <row r="203" spans="1:63" collapsed="1">
      <c r="A203" s="9"/>
      <c r="B203" s="154"/>
      <c r="C203" s="26"/>
      <c r="D203" s="9"/>
      <c r="E203" s="9"/>
      <c r="F203" s="142"/>
      <c r="G203" s="195"/>
      <c r="H203" s="117"/>
      <c r="I203" s="117"/>
      <c r="J203" s="117"/>
      <c r="K203" s="117"/>
      <c r="L203" s="117"/>
      <c r="M203" s="9"/>
      <c r="N203" s="112"/>
      <c r="O203" s="153"/>
      <c r="P203" s="153"/>
      <c r="Q203" s="153"/>
      <c r="R203" s="101"/>
      <c r="S203" s="101"/>
      <c r="T203" s="101"/>
      <c r="U203" s="101"/>
      <c r="V203" s="101"/>
      <c r="W203" s="101"/>
      <c r="X203" s="101"/>
      <c r="Y203" s="101"/>
      <c r="Z203" s="101"/>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13"/>
      <c r="BK203" s="213"/>
    </row>
    <row r="204" spans="1:63">
      <c r="A204" s="9"/>
      <c r="B204" s="154" t="s">
        <v>56</v>
      </c>
      <c r="C204" s="26"/>
      <c r="D204" s="9"/>
      <c r="E204" s="9"/>
      <c r="F204" s="142"/>
      <c r="G204" s="195">
        <f>SUM(G205:G234)</f>
        <v>0</v>
      </c>
      <c r="H204" s="117"/>
      <c r="I204" s="117"/>
      <c r="J204" s="117"/>
      <c r="K204" s="117"/>
      <c r="L204" s="117"/>
      <c r="M204" s="9"/>
      <c r="N204" s="112"/>
      <c r="O204" s="153"/>
      <c r="P204" s="153"/>
      <c r="Q204" s="153"/>
      <c r="R204" s="101"/>
      <c r="S204" s="101"/>
      <c r="T204" s="101"/>
      <c r="U204" s="101"/>
      <c r="V204" s="101"/>
      <c r="W204" s="101"/>
      <c r="X204" s="101"/>
      <c r="Y204" s="101"/>
      <c r="Z204" s="101"/>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13"/>
      <c r="BK204" s="213"/>
    </row>
    <row r="205" spans="1:63" ht="12.75" hidden="1" customHeight="1" outlineLevel="1">
      <c r="A205" s="9"/>
      <c r="B205" s="9"/>
      <c r="C205" s="130" t="str">
        <f>Asset1</f>
        <v>Subtransmission</v>
      </c>
      <c r="D205" s="9"/>
      <c r="E205" s="9"/>
      <c r="F205" s="142"/>
      <c r="G205" s="193">
        <f>Input!R7</f>
        <v>0</v>
      </c>
      <c r="H205" s="117"/>
      <c r="I205" s="117"/>
      <c r="J205" s="117"/>
      <c r="K205" s="117"/>
      <c r="L205" s="117"/>
      <c r="M205" s="9"/>
      <c r="N205" s="112"/>
      <c r="O205" s="153"/>
      <c r="P205" s="153"/>
      <c r="Q205" s="153"/>
      <c r="R205" s="101"/>
      <c r="S205" s="101"/>
      <c r="T205" s="101"/>
      <c r="U205" s="101"/>
      <c r="V205" s="101"/>
      <c r="W205" s="101"/>
      <c r="X205" s="101"/>
      <c r="Y205" s="101"/>
      <c r="Z205" s="101"/>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13"/>
      <c r="BK205" s="213"/>
    </row>
    <row r="206" spans="1:63" ht="12.75" hidden="1" customHeight="1" outlineLevel="1">
      <c r="A206" s="9"/>
      <c r="B206" s="46"/>
      <c r="C206" s="130" t="str">
        <f>Asset2</f>
        <v>Distribution system assets</v>
      </c>
      <c r="D206" s="9"/>
      <c r="E206" s="9"/>
      <c r="F206" s="142"/>
      <c r="G206" s="193">
        <f>Input!R8</f>
        <v>0</v>
      </c>
      <c r="H206" s="117"/>
      <c r="I206" s="117"/>
      <c r="J206" s="117"/>
      <c r="K206" s="117"/>
      <c r="L206" s="117"/>
      <c r="M206" s="9"/>
      <c r="N206" s="112"/>
      <c r="O206" s="153"/>
      <c r="P206" s="153"/>
      <c r="Q206" s="153"/>
      <c r="R206" s="101"/>
      <c r="S206" s="101"/>
      <c r="T206" s="101"/>
      <c r="U206" s="101"/>
      <c r="V206" s="101"/>
      <c r="W206" s="101"/>
      <c r="X206" s="101"/>
      <c r="Y206" s="101"/>
      <c r="Z206" s="101"/>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13"/>
      <c r="BK206" s="213"/>
    </row>
    <row r="207" spans="1:63" ht="12.75" hidden="1" customHeight="1" outlineLevel="1">
      <c r="A207" s="9"/>
      <c r="B207" s="46"/>
      <c r="C207" s="130" t="str">
        <f>Asset3</f>
        <v>Standard metering</v>
      </c>
      <c r="D207" s="9"/>
      <c r="E207" s="9"/>
      <c r="F207" s="142"/>
      <c r="G207" s="193">
        <f>Input!R9</f>
        <v>0</v>
      </c>
      <c r="H207" s="117"/>
      <c r="I207" s="117"/>
      <c r="J207" s="117"/>
      <c r="K207" s="117"/>
      <c r="L207" s="117"/>
      <c r="M207" s="9"/>
      <c r="N207" s="112"/>
      <c r="O207" s="153"/>
      <c r="P207" s="153"/>
      <c r="Q207" s="153"/>
      <c r="R207" s="101"/>
      <c r="S207" s="101"/>
      <c r="T207" s="101"/>
      <c r="U207" s="101"/>
      <c r="V207" s="101"/>
      <c r="W207" s="101"/>
      <c r="X207" s="101"/>
      <c r="Y207" s="101"/>
      <c r="Z207" s="101"/>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13"/>
      <c r="BK207" s="213"/>
    </row>
    <row r="208" spans="1:63" ht="12.75" hidden="1" customHeight="1" outlineLevel="1">
      <c r="A208" s="9"/>
      <c r="B208" s="46"/>
      <c r="C208" s="130" t="str">
        <f>Asset4</f>
        <v>Public lighting</v>
      </c>
      <c r="D208" s="9"/>
      <c r="E208" s="9"/>
      <c r="F208" s="142"/>
      <c r="G208" s="193">
        <f>Input!R10</f>
        <v>0</v>
      </c>
      <c r="H208" s="117"/>
      <c r="I208" s="117"/>
      <c r="J208" s="117"/>
      <c r="K208" s="117"/>
      <c r="L208" s="117"/>
      <c r="M208" s="9"/>
      <c r="N208" s="112"/>
      <c r="O208" s="153"/>
      <c r="P208" s="153"/>
      <c r="Q208" s="153"/>
      <c r="R208" s="101"/>
      <c r="S208" s="101"/>
      <c r="T208" s="101"/>
      <c r="U208" s="101"/>
      <c r="V208" s="101"/>
      <c r="W208" s="101"/>
      <c r="X208" s="101"/>
      <c r="Y208" s="101"/>
      <c r="Z208" s="101"/>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13"/>
      <c r="BK208" s="213"/>
    </row>
    <row r="209" spans="1:63" ht="12.75" hidden="1" customHeight="1" outlineLevel="1">
      <c r="A209" s="9"/>
      <c r="B209" s="46"/>
      <c r="C209" s="130" t="str">
        <f>Asset5</f>
        <v>SCADA/Network control</v>
      </c>
      <c r="D209" s="9"/>
      <c r="E209" s="9"/>
      <c r="F209" s="142"/>
      <c r="G209" s="193">
        <f>Input!R11</f>
        <v>0</v>
      </c>
      <c r="H209" s="117"/>
      <c r="I209" s="117"/>
      <c r="J209" s="117"/>
      <c r="K209" s="117"/>
      <c r="L209" s="117"/>
      <c r="M209" s="9"/>
      <c r="N209" s="112"/>
      <c r="O209" s="153"/>
      <c r="P209" s="153"/>
      <c r="Q209" s="153"/>
      <c r="R209" s="101"/>
      <c r="S209" s="101"/>
      <c r="T209" s="101"/>
      <c r="U209" s="101"/>
      <c r="V209" s="101"/>
      <c r="W209" s="101"/>
      <c r="X209" s="101"/>
      <c r="Y209" s="101"/>
      <c r="Z209" s="101"/>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13"/>
      <c r="BK209" s="213"/>
    </row>
    <row r="210" spans="1:63" ht="12.75" hidden="1" customHeight="1" outlineLevel="1">
      <c r="A210" s="9"/>
      <c r="B210" s="46"/>
      <c r="C210" s="130" t="str">
        <f>Asset6</f>
        <v>Non-network general assets - IT</v>
      </c>
      <c r="D210" s="9"/>
      <c r="E210" s="9"/>
      <c r="F210" s="142"/>
      <c r="G210" s="193">
        <f>Input!R12</f>
        <v>0</v>
      </c>
      <c r="H210" s="117"/>
      <c r="I210" s="117"/>
      <c r="J210" s="117"/>
      <c r="K210" s="117"/>
      <c r="L210" s="117"/>
      <c r="M210" s="9"/>
      <c r="N210" s="112"/>
      <c r="O210" s="153"/>
      <c r="P210" s="153"/>
      <c r="Q210" s="153"/>
      <c r="R210" s="101"/>
      <c r="S210" s="101"/>
      <c r="T210" s="101"/>
      <c r="U210" s="101"/>
      <c r="V210" s="101"/>
      <c r="W210" s="101"/>
      <c r="X210" s="101"/>
      <c r="Y210" s="101"/>
      <c r="Z210" s="101"/>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13"/>
      <c r="BK210" s="213"/>
    </row>
    <row r="211" spans="1:63" ht="12.75" hidden="1" customHeight="1" outlineLevel="1">
      <c r="A211" s="9"/>
      <c r="B211" s="46"/>
      <c r="C211" s="130" t="str">
        <f>Asset7</f>
        <v>Non-network general assets - Other</v>
      </c>
      <c r="D211" s="9"/>
      <c r="E211" s="9"/>
      <c r="F211" s="142"/>
      <c r="G211" s="193">
        <f>Input!R13</f>
        <v>0</v>
      </c>
      <c r="H211" s="117"/>
      <c r="I211" s="117"/>
      <c r="J211" s="117"/>
      <c r="K211" s="117"/>
      <c r="L211" s="117"/>
      <c r="M211" s="9"/>
      <c r="N211" s="112"/>
      <c r="O211" s="153"/>
      <c r="P211" s="153"/>
      <c r="Q211" s="153"/>
      <c r="R211" s="101"/>
      <c r="S211" s="101"/>
      <c r="T211" s="101"/>
      <c r="U211" s="101"/>
      <c r="V211" s="101"/>
      <c r="W211" s="101"/>
      <c r="X211" s="101"/>
      <c r="Y211" s="101"/>
      <c r="Z211" s="101"/>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13"/>
      <c r="BK211" s="213"/>
    </row>
    <row r="212" spans="1:63" ht="12.75" hidden="1" customHeight="1" outlineLevel="1">
      <c r="A212" s="9"/>
      <c r="B212" s="46"/>
      <c r="C212" s="130" t="str">
        <f>Asset8</f>
        <v>VBRC</v>
      </c>
      <c r="D212" s="9"/>
      <c r="E212" s="9"/>
      <c r="F212" s="142"/>
      <c r="G212" s="193">
        <f>Input!R14</f>
        <v>0</v>
      </c>
      <c r="H212" s="117"/>
      <c r="I212" s="117"/>
      <c r="J212" s="117"/>
      <c r="K212" s="117"/>
      <c r="L212" s="117"/>
      <c r="M212" s="9"/>
      <c r="N212" s="112"/>
      <c r="O212" s="153"/>
      <c r="P212" s="153"/>
      <c r="Q212" s="153"/>
      <c r="R212" s="101"/>
      <c r="S212" s="101"/>
      <c r="T212" s="101"/>
      <c r="U212" s="101"/>
      <c r="V212" s="101"/>
      <c r="W212" s="101"/>
      <c r="X212" s="101"/>
      <c r="Y212" s="101"/>
      <c r="Z212" s="101"/>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13"/>
      <c r="BK212" s="213"/>
    </row>
    <row r="213" spans="1:63" ht="12.75" hidden="1" customHeight="1" outlineLevel="1">
      <c r="A213" s="9"/>
      <c r="B213" s="46"/>
      <c r="C213" s="130" t="str">
        <f>Asset9</f>
        <v>Equity raising</v>
      </c>
      <c r="D213" s="9"/>
      <c r="E213" s="9"/>
      <c r="F213" s="142"/>
      <c r="G213" s="193">
        <f>Input!R15</f>
        <v>0</v>
      </c>
      <c r="H213" s="117"/>
      <c r="I213" s="117"/>
      <c r="J213" s="117"/>
      <c r="K213" s="117"/>
      <c r="L213" s="117"/>
      <c r="M213" s="9"/>
      <c r="N213" s="112"/>
      <c r="O213" s="153"/>
      <c r="P213" s="153"/>
      <c r="Q213" s="153"/>
      <c r="R213" s="101"/>
      <c r="S213" s="101"/>
      <c r="T213" s="101"/>
      <c r="U213" s="101"/>
      <c r="V213" s="101"/>
      <c r="W213" s="101"/>
      <c r="X213" s="101"/>
      <c r="Y213" s="101"/>
      <c r="Z213" s="101"/>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13"/>
      <c r="BK213" s="213"/>
    </row>
    <row r="214" spans="1:63" ht="12.75" hidden="1" customHeight="1" outlineLevel="1">
      <c r="A214" s="9"/>
      <c r="B214" s="46"/>
      <c r="C214" s="130">
        <f>Asset10</f>
        <v>0</v>
      </c>
      <c r="D214" s="9"/>
      <c r="E214" s="9"/>
      <c r="F214" s="142"/>
      <c r="G214" s="193">
        <f>Input!R16</f>
        <v>0</v>
      </c>
      <c r="H214" s="117"/>
      <c r="I214" s="117"/>
      <c r="J214" s="117"/>
      <c r="K214" s="117"/>
      <c r="L214" s="117"/>
      <c r="M214" s="9"/>
      <c r="N214" s="112"/>
      <c r="O214" s="153"/>
      <c r="P214" s="153"/>
      <c r="Q214" s="153"/>
      <c r="R214" s="101"/>
      <c r="S214" s="101"/>
      <c r="T214" s="101"/>
      <c r="U214" s="101"/>
      <c r="V214" s="101"/>
      <c r="W214" s="101"/>
      <c r="X214" s="101"/>
      <c r="Y214" s="101"/>
      <c r="Z214" s="101"/>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13"/>
      <c r="BK214" s="213"/>
    </row>
    <row r="215" spans="1:63" ht="12.75" hidden="1" customHeight="1" outlineLevel="1">
      <c r="A215" s="9"/>
      <c r="B215" s="46"/>
      <c r="C215" s="130">
        <f>Asset11</f>
        <v>0</v>
      </c>
      <c r="D215" s="9"/>
      <c r="E215" s="9"/>
      <c r="F215" s="142"/>
      <c r="G215" s="193">
        <f>Input!R17</f>
        <v>0</v>
      </c>
      <c r="H215" s="117"/>
      <c r="I215" s="117"/>
      <c r="J215" s="117"/>
      <c r="K215" s="117"/>
      <c r="L215" s="117"/>
      <c r="M215" s="9"/>
      <c r="N215" s="112"/>
      <c r="O215" s="153"/>
      <c r="P215" s="153"/>
      <c r="Q215" s="153"/>
      <c r="R215" s="101"/>
      <c r="S215" s="101"/>
      <c r="T215" s="101"/>
      <c r="U215" s="101"/>
      <c r="V215" s="101"/>
      <c r="W215" s="101"/>
      <c r="X215" s="101"/>
      <c r="Y215" s="101"/>
      <c r="Z215" s="101"/>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13"/>
      <c r="BK215" s="213"/>
    </row>
    <row r="216" spans="1:63" ht="12.75" hidden="1" customHeight="1" outlineLevel="1">
      <c r="A216" s="9"/>
      <c r="B216" s="46"/>
      <c r="C216" s="130">
        <f>Asset12</f>
        <v>0</v>
      </c>
      <c r="D216" s="9"/>
      <c r="E216" s="9"/>
      <c r="F216" s="142"/>
      <c r="G216" s="193">
        <f>Input!R18</f>
        <v>0</v>
      </c>
      <c r="H216" s="117"/>
      <c r="I216" s="117"/>
      <c r="J216" s="117"/>
      <c r="K216" s="117"/>
      <c r="L216" s="117"/>
      <c r="M216" s="9"/>
      <c r="N216" s="112"/>
      <c r="O216" s="153"/>
      <c r="P216" s="153"/>
      <c r="Q216" s="153"/>
      <c r="R216" s="101"/>
      <c r="S216" s="101"/>
      <c r="T216" s="101"/>
      <c r="U216" s="101"/>
      <c r="V216" s="101"/>
      <c r="W216" s="101"/>
      <c r="X216" s="101"/>
      <c r="Y216" s="101"/>
      <c r="Z216" s="101"/>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13"/>
      <c r="BK216" s="213"/>
    </row>
    <row r="217" spans="1:63" ht="12.75" hidden="1" customHeight="1" outlineLevel="1">
      <c r="A217" s="9"/>
      <c r="B217" s="46"/>
      <c r="C217" s="130">
        <f>Asset13</f>
        <v>0</v>
      </c>
      <c r="D217" s="9"/>
      <c r="E217" s="9"/>
      <c r="F217" s="142"/>
      <c r="G217" s="193">
        <f>Input!R19</f>
        <v>0</v>
      </c>
      <c r="H217" s="117"/>
      <c r="I217" s="117"/>
      <c r="J217" s="117"/>
      <c r="K217" s="117"/>
      <c r="L217" s="117"/>
      <c r="M217" s="9"/>
      <c r="N217" s="112"/>
      <c r="O217" s="153"/>
      <c r="P217" s="153"/>
      <c r="Q217" s="153"/>
      <c r="R217" s="101"/>
      <c r="S217" s="101"/>
      <c r="T217" s="101"/>
      <c r="U217" s="101"/>
      <c r="V217" s="101"/>
      <c r="W217" s="101"/>
      <c r="X217" s="101"/>
      <c r="Y217" s="101"/>
      <c r="Z217" s="101"/>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13"/>
      <c r="BK217" s="213"/>
    </row>
    <row r="218" spans="1:63" ht="12.75" hidden="1" customHeight="1" outlineLevel="1">
      <c r="A218" s="9"/>
      <c r="B218" s="46"/>
      <c r="C218" s="130">
        <f>Asset14</f>
        <v>0</v>
      </c>
      <c r="D218" s="9"/>
      <c r="E218" s="9"/>
      <c r="F218" s="142"/>
      <c r="G218" s="193">
        <f>Input!R20</f>
        <v>0</v>
      </c>
      <c r="H218" s="117"/>
      <c r="I218" s="117"/>
      <c r="J218" s="117"/>
      <c r="K218" s="117"/>
      <c r="L218" s="117"/>
      <c r="M218" s="9"/>
      <c r="N218" s="112"/>
      <c r="O218" s="153"/>
      <c r="P218" s="153"/>
      <c r="Q218" s="153"/>
      <c r="R218" s="101"/>
      <c r="S218" s="101"/>
      <c r="T218" s="101"/>
      <c r="U218" s="101"/>
      <c r="V218" s="101"/>
      <c r="W218" s="101"/>
      <c r="X218" s="101"/>
      <c r="Y218" s="101"/>
      <c r="Z218" s="101"/>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13"/>
      <c r="BK218" s="213"/>
    </row>
    <row r="219" spans="1:63" ht="12.75" hidden="1" customHeight="1" outlineLevel="1">
      <c r="A219" s="9"/>
      <c r="B219" s="46"/>
      <c r="C219" s="130">
        <f>Asset15</f>
        <v>0</v>
      </c>
      <c r="D219" s="9"/>
      <c r="E219" s="9"/>
      <c r="F219" s="142"/>
      <c r="G219" s="193">
        <f>Input!R21</f>
        <v>0</v>
      </c>
      <c r="H219" s="117"/>
      <c r="I219" s="117"/>
      <c r="J219" s="117"/>
      <c r="K219" s="117"/>
      <c r="L219" s="117"/>
      <c r="M219" s="9"/>
      <c r="N219" s="112"/>
      <c r="O219" s="153"/>
      <c r="P219" s="153"/>
      <c r="Q219" s="153"/>
      <c r="R219" s="101"/>
      <c r="S219" s="101"/>
      <c r="T219" s="101"/>
      <c r="U219" s="101"/>
      <c r="V219" s="101"/>
      <c r="W219" s="101"/>
      <c r="X219" s="101"/>
      <c r="Y219" s="101"/>
      <c r="Z219" s="101"/>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13"/>
      <c r="BK219" s="213"/>
    </row>
    <row r="220" spans="1:63" ht="12.75" hidden="1" customHeight="1" outlineLevel="1">
      <c r="A220" s="9"/>
      <c r="B220" s="46"/>
      <c r="C220" s="130">
        <f>Asset16</f>
        <v>0</v>
      </c>
      <c r="D220" s="9"/>
      <c r="E220" s="9"/>
      <c r="F220" s="142"/>
      <c r="G220" s="193">
        <f>Input!R22</f>
        <v>0</v>
      </c>
      <c r="H220" s="117"/>
      <c r="I220" s="117"/>
      <c r="J220" s="117"/>
      <c r="K220" s="117"/>
      <c r="L220" s="117"/>
      <c r="M220" s="9"/>
      <c r="N220" s="112"/>
      <c r="O220" s="153"/>
      <c r="P220" s="153"/>
      <c r="Q220" s="153"/>
      <c r="R220" s="101"/>
      <c r="S220" s="101"/>
      <c r="T220" s="101"/>
      <c r="U220" s="101"/>
      <c r="V220" s="101"/>
      <c r="W220" s="101"/>
      <c r="X220" s="101"/>
      <c r="Y220" s="101"/>
      <c r="Z220" s="101"/>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13"/>
      <c r="BK220" s="213"/>
    </row>
    <row r="221" spans="1:63" ht="12.75" hidden="1" customHeight="1" outlineLevel="1">
      <c r="A221" s="9"/>
      <c r="B221" s="46"/>
      <c r="C221" s="130">
        <f>Asset17</f>
        <v>0</v>
      </c>
      <c r="D221" s="9"/>
      <c r="E221" s="9"/>
      <c r="F221" s="142"/>
      <c r="G221" s="193">
        <f>Input!R23</f>
        <v>0</v>
      </c>
      <c r="H221" s="117"/>
      <c r="I221" s="117"/>
      <c r="J221" s="117"/>
      <c r="K221" s="117"/>
      <c r="L221" s="117"/>
      <c r="M221" s="9"/>
      <c r="N221" s="112"/>
      <c r="O221" s="153"/>
      <c r="P221" s="153"/>
      <c r="Q221" s="153"/>
      <c r="R221" s="101"/>
      <c r="S221" s="101"/>
      <c r="T221" s="101"/>
      <c r="U221" s="101"/>
      <c r="V221" s="101"/>
      <c r="W221" s="101"/>
      <c r="X221" s="101"/>
      <c r="Y221" s="101"/>
      <c r="Z221" s="101"/>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13"/>
      <c r="BK221" s="213"/>
    </row>
    <row r="222" spans="1:63" ht="12.75" hidden="1" customHeight="1" outlineLevel="1">
      <c r="A222" s="9"/>
      <c r="B222" s="46"/>
      <c r="C222" s="130">
        <f>Asset18</f>
        <v>0</v>
      </c>
      <c r="D222" s="9"/>
      <c r="E222" s="9"/>
      <c r="F222" s="142"/>
      <c r="G222" s="193">
        <f>Input!R24</f>
        <v>0</v>
      </c>
      <c r="H222" s="117"/>
      <c r="I222" s="117"/>
      <c r="J222" s="117"/>
      <c r="K222" s="117"/>
      <c r="L222" s="117"/>
      <c r="M222" s="9"/>
      <c r="N222" s="112"/>
      <c r="O222" s="153"/>
      <c r="P222" s="153"/>
      <c r="Q222" s="153"/>
      <c r="R222" s="101"/>
      <c r="S222" s="101"/>
      <c r="T222" s="101"/>
      <c r="U222" s="101"/>
      <c r="V222" s="101"/>
      <c r="W222" s="101"/>
      <c r="X222" s="101"/>
      <c r="Y222" s="101"/>
      <c r="Z222" s="101"/>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13"/>
      <c r="BK222" s="213"/>
    </row>
    <row r="223" spans="1:63" ht="12.75" hidden="1" customHeight="1" outlineLevel="1">
      <c r="A223" s="9"/>
      <c r="B223" s="46"/>
      <c r="C223" s="130">
        <f>Asset19</f>
        <v>0</v>
      </c>
      <c r="D223" s="9"/>
      <c r="E223" s="9"/>
      <c r="F223" s="142"/>
      <c r="G223" s="193">
        <f>Input!R25</f>
        <v>0</v>
      </c>
      <c r="H223" s="117"/>
      <c r="I223" s="117"/>
      <c r="J223" s="117"/>
      <c r="K223" s="117"/>
      <c r="L223" s="117"/>
      <c r="M223" s="9"/>
      <c r="N223" s="112"/>
      <c r="O223" s="153"/>
      <c r="P223" s="153"/>
      <c r="Q223" s="153"/>
      <c r="R223" s="101"/>
      <c r="S223" s="101"/>
      <c r="T223" s="101"/>
      <c r="U223" s="101"/>
      <c r="V223" s="101"/>
      <c r="W223" s="101"/>
      <c r="X223" s="101"/>
      <c r="Y223" s="101"/>
      <c r="Z223" s="101"/>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13"/>
      <c r="BK223" s="213"/>
    </row>
    <row r="224" spans="1:63" ht="12.75" hidden="1" customHeight="1" outlineLevel="1">
      <c r="A224" s="9"/>
      <c r="B224" s="46"/>
      <c r="C224" s="130">
        <f>Asset20</f>
        <v>0</v>
      </c>
      <c r="D224" s="9"/>
      <c r="E224" s="9"/>
      <c r="F224" s="142"/>
      <c r="G224" s="195">
        <f>Input!R26</f>
        <v>0</v>
      </c>
      <c r="H224" s="117"/>
      <c r="I224" s="117"/>
      <c r="J224" s="117"/>
      <c r="K224" s="117"/>
      <c r="L224" s="117"/>
      <c r="M224" s="9"/>
      <c r="N224" s="112"/>
      <c r="O224" s="153"/>
      <c r="P224" s="153"/>
      <c r="Q224" s="153"/>
      <c r="R224" s="101"/>
      <c r="S224" s="101"/>
      <c r="T224" s="101"/>
      <c r="U224" s="101"/>
      <c r="V224" s="101"/>
      <c r="W224" s="101"/>
      <c r="X224" s="101"/>
      <c r="Y224" s="101"/>
      <c r="Z224" s="101"/>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13"/>
      <c r="BK224" s="213"/>
    </row>
    <row r="225" spans="1:63" ht="12.75" hidden="1" customHeight="1" outlineLevel="1">
      <c r="A225" s="9"/>
      <c r="B225" s="46"/>
      <c r="C225" s="130">
        <f>Asset21</f>
        <v>0</v>
      </c>
      <c r="D225" s="9"/>
      <c r="E225" s="9"/>
      <c r="F225" s="142"/>
      <c r="G225" s="195">
        <f>Input!R27</f>
        <v>0</v>
      </c>
      <c r="H225" s="117"/>
      <c r="I225" s="117"/>
      <c r="J225" s="117"/>
      <c r="K225" s="117"/>
      <c r="L225" s="117"/>
      <c r="M225" s="9"/>
      <c r="N225" s="112"/>
      <c r="O225" s="153"/>
      <c r="P225" s="153"/>
      <c r="Q225" s="153"/>
      <c r="R225" s="101"/>
      <c r="S225" s="101"/>
      <c r="T225" s="101"/>
      <c r="U225" s="101"/>
      <c r="V225" s="101"/>
      <c r="W225" s="101"/>
      <c r="X225" s="101"/>
      <c r="Y225" s="101"/>
      <c r="Z225" s="101"/>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13"/>
      <c r="BK225" s="213"/>
    </row>
    <row r="226" spans="1:63" ht="12.75" hidden="1" customHeight="1" outlineLevel="1">
      <c r="A226" s="9"/>
      <c r="B226" s="46"/>
      <c r="C226" s="130">
        <f>Asset22</f>
        <v>0</v>
      </c>
      <c r="D226" s="9"/>
      <c r="E226" s="9"/>
      <c r="F226" s="142"/>
      <c r="G226" s="195">
        <f>Input!R28</f>
        <v>0</v>
      </c>
      <c r="H226" s="117"/>
      <c r="I226" s="117"/>
      <c r="J226" s="117"/>
      <c r="K226" s="117"/>
      <c r="L226" s="117"/>
      <c r="M226" s="9"/>
      <c r="N226" s="112"/>
      <c r="O226" s="153"/>
      <c r="P226" s="153"/>
      <c r="Q226" s="153"/>
      <c r="R226" s="101"/>
      <c r="S226" s="101"/>
      <c r="T226" s="101"/>
      <c r="U226" s="101"/>
      <c r="V226" s="101"/>
      <c r="W226" s="101"/>
      <c r="X226" s="101"/>
      <c r="Y226" s="101"/>
      <c r="Z226" s="101"/>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13"/>
      <c r="BK226" s="213"/>
    </row>
    <row r="227" spans="1:63" ht="12.75" hidden="1" customHeight="1" outlineLevel="1">
      <c r="A227" s="9"/>
      <c r="B227" s="46"/>
      <c r="C227" s="130">
        <f>Asset23</f>
        <v>0</v>
      </c>
      <c r="D227" s="9"/>
      <c r="E227" s="9"/>
      <c r="F227" s="142"/>
      <c r="G227" s="195">
        <f>Input!R29</f>
        <v>0</v>
      </c>
      <c r="H227" s="117"/>
      <c r="I227" s="117"/>
      <c r="J227" s="117"/>
      <c r="K227" s="117"/>
      <c r="L227" s="117"/>
      <c r="M227" s="9"/>
      <c r="N227" s="112"/>
      <c r="O227" s="153"/>
      <c r="P227" s="153"/>
      <c r="Q227" s="153"/>
      <c r="R227" s="101"/>
      <c r="S227" s="101"/>
      <c r="T227" s="101"/>
      <c r="U227" s="101"/>
      <c r="V227" s="101"/>
      <c r="W227" s="101"/>
      <c r="X227" s="101"/>
      <c r="Y227" s="101"/>
      <c r="Z227" s="101"/>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13"/>
      <c r="BK227" s="213"/>
    </row>
    <row r="228" spans="1:63" ht="12.75" hidden="1" customHeight="1" outlineLevel="1">
      <c r="A228" s="9"/>
      <c r="B228" s="46"/>
      <c r="C228" s="130">
        <f>Asset24</f>
        <v>0</v>
      </c>
      <c r="D228" s="9"/>
      <c r="E228" s="9"/>
      <c r="F228" s="142"/>
      <c r="G228" s="195">
        <f>Input!R30</f>
        <v>0</v>
      </c>
      <c r="H228" s="117"/>
      <c r="I228" s="117"/>
      <c r="J228" s="117"/>
      <c r="K228" s="117"/>
      <c r="L228" s="117"/>
      <c r="M228" s="9"/>
      <c r="N228" s="112"/>
      <c r="O228" s="153"/>
      <c r="P228" s="153"/>
      <c r="Q228" s="153"/>
      <c r="R228" s="101"/>
      <c r="S228" s="101"/>
      <c r="T228" s="101"/>
      <c r="U228" s="101"/>
      <c r="V228" s="101"/>
      <c r="W228" s="101"/>
      <c r="X228" s="101"/>
      <c r="Y228" s="101"/>
      <c r="Z228" s="101"/>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13"/>
      <c r="BK228" s="213"/>
    </row>
    <row r="229" spans="1:63" ht="12.75" hidden="1" customHeight="1" outlineLevel="1">
      <c r="A229" s="9"/>
      <c r="B229" s="46"/>
      <c r="C229" s="130">
        <f>Asset25</f>
        <v>0</v>
      </c>
      <c r="D229" s="9"/>
      <c r="E229" s="9"/>
      <c r="F229" s="142"/>
      <c r="G229" s="195">
        <f>Input!R31</f>
        <v>0</v>
      </c>
      <c r="H229" s="117"/>
      <c r="I229" s="117"/>
      <c r="J229" s="117"/>
      <c r="K229" s="117"/>
      <c r="L229" s="117"/>
      <c r="M229" s="9"/>
      <c r="N229" s="112"/>
      <c r="O229" s="153"/>
      <c r="P229" s="153"/>
      <c r="Q229" s="153"/>
      <c r="R229" s="101"/>
      <c r="S229" s="101"/>
      <c r="T229" s="101"/>
      <c r="U229" s="101"/>
      <c r="V229" s="101"/>
      <c r="W229" s="101"/>
      <c r="X229" s="101"/>
      <c r="Y229" s="101"/>
      <c r="Z229" s="101"/>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13"/>
      <c r="BK229" s="213"/>
    </row>
    <row r="230" spans="1:63" ht="12.75" hidden="1" customHeight="1" outlineLevel="1">
      <c r="A230" s="9"/>
      <c r="B230" s="46"/>
      <c r="C230" s="130">
        <f>Asset26</f>
        <v>0</v>
      </c>
      <c r="D230" s="9"/>
      <c r="E230" s="9"/>
      <c r="F230" s="142"/>
      <c r="G230" s="195">
        <f>Input!R32</f>
        <v>0</v>
      </c>
      <c r="H230" s="117"/>
      <c r="I230" s="117"/>
      <c r="J230" s="117"/>
      <c r="K230" s="117"/>
      <c r="L230" s="117"/>
      <c r="M230" s="9"/>
      <c r="N230" s="112"/>
      <c r="O230" s="153"/>
      <c r="P230" s="153"/>
      <c r="Q230" s="153"/>
      <c r="R230" s="101"/>
      <c r="S230" s="101"/>
      <c r="T230" s="101"/>
      <c r="U230" s="101"/>
      <c r="V230" s="101"/>
      <c r="W230" s="101"/>
      <c r="X230" s="101"/>
      <c r="Y230" s="101"/>
      <c r="Z230" s="101"/>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13"/>
      <c r="BK230" s="213"/>
    </row>
    <row r="231" spans="1:63" ht="12.75" hidden="1" customHeight="1" outlineLevel="1">
      <c r="A231" s="9"/>
      <c r="B231" s="46"/>
      <c r="C231" s="130">
        <f>Asset27</f>
        <v>0</v>
      </c>
      <c r="D231" s="9"/>
      <c r="E231" s="9"/>
      <c r="F231" s="142"/>
      <c r="G231" s="195">
        <f>Input!R33</f>
        <v>0</v>
      </c>
      <c r="H231" s="117"/>
      <c r="I231" s="117"/>
      <c r="J231" s="117"/>
      <c r="K231" s="117"/>
      <c r="L231" s="117"/>
      <c r="M231" s="9"/>
      <c r="N231" s="112"/>
      <c r="O231" s="153"/>
      <c r="P231" s="153"/>
      <c r="Q231" s="153"/>
      <c r="R231" s="101"/>
      <c r="S231" s="101"/>
      <c r="T231" s="101"/>
      <c r="U231" s="101"/>
      <c r="V231" s="101"/>
      <c r="W231" s="101"/>
      <c r="X231" s="101"/>
      <c r="Y231" s="101"/>
      <c r="Z231" s="101"/>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13"/>
      <c r="BK231" s="213"/>
    </row>
    <row r="232" spans="1:63" ht="12.75" hidden="1" customHeight="1" outlineLevel="1">
      <c r="A232" s="9"/>
      <c r="B232" s="46"/>
      <c r="C232" s="130">
        <f>Asset28</f>
        <v>0</v>
      </c>
      <c r="D232" s="9"/>
      <c r="E232" s="9"/>
      <c r="F232" s="142"/>
      <c r="G232" s="195">
        <f>Input!R34</f>
        <v>0</v>
      </c>
      <c r="H232" s="117"/>
      <c r="I232" s="117"/>
      <c r="J232" s="117"/>
      <c r="K232" s="117"/>
      <c r="L232" s="117"/>
      <c r="M232" s="9"/>
      <c r="N232" s="112"/>
      <c r="O232" s="153"/>
      <c r="P232" s="153"/>
      <c r="Q232" s="153"/>
      <c r="R232" s="101"/>
      <c r="S232" s="101"/>
      <c r="T232" s="101"/>
      <c r="U232" s="101"/>
      <c r="V232" s="101"/>
      <c r="W232" s="101"/>
      <c r="X232" s="101"/>
      <c r="Y232" s="101"/>
      <c r="Z232" s="101"/>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13"/>
      <c r="BK232" s="213"/>
    </row>
    <row r="233" spans="1:63" ht="12.75" hidden="1" customHeight="1" outlineLevel="1">
      <c r="A233" s="9"/>
      <c r="B233" s="46"/>
      <c r="C233" s="130">
        <f>Asset29</f>
        <v>0</v>
      </c>
      <c r="D233" s="9"/>
      <c r="E233" s="9"/>
      <c r="F233" s="142"/>
      <c r="G233" s="195">
        <f>Input!R35</f>
        <v>0</v>
      </c>
      <c r="H233" s="117"/>
      <c r="I233" s="117"/>
      <c r="J233" s="117"/>
      <c r="K233" s="117"/>
      <c r="L233" s="117"/>
      <c r="M233" s="9"/>
      <c r="N233" s="112"/>
      <c r="O233" s="153"/>
      <c r="P233" s="153"/>
      <c r="Q233" s="153"/>
      <c r="R233" s="101"/>
      <c r="S233" s="101"/>
      <c r="T233" s="101"/>
      <c r="U233" s="101"/>
      <c r="V233" s="101"/>
      <c r="W233" s="101"/>
      <c r="X233" s="101"/>
      <c r="Y233" s="101"/>
      <c r="Z233" s="101"/>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13"/>
      <c r="BK233" s="213"/>
    </row>
    <row r="234" spans="1:63" ht="12.75" hidden="1" customHeight="1" outlineLevel="1">
      <c r="A234" s="9"/>
      <c r="B234" s="46"/>
      <c r="C234" s="130">
        <f>Asset30</f>
        <v>0</v>
      </c>
      <c r="D234" s="9"/>
      <c r="E234" s="9"/>
      <c r="F234" s="142"/>
      <c r="G234" s="195">
        <f>Input!R36</f>
        <v>0</v>
      </c>
      <c r="H234" s="117"/>
      <c r="I234" s="117"/>
      <c r="J234" s="117"/>
      <c r="K234" s="117"/>
      <c r="L234" s="117"/>
      <c r="M234" s="9"/>
      <c r="N234" s="112"/>
      <c r="O234" s="153"/>
      <c r="P234" s="153"/>
      <c r="Q234" s="153"/>
      <c r="R234" s="101"/>
      <c r="S234" s="101"/>
      <c r="T234" s="101"/>
      <c r="U234" s="101"/>
      <c r="V234" s="101"/>
      <c r="W234" s="101"/>
      <c r="X234" s="101"/>
      <c r="Y234" s="101"/>
      <c r="Z234" s="101"/>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13"/>
      <c r="BK234" s="213"/>
    </row>
    <row r="235" spans="1:63" collapsed="1">
      <c r="A235" s="9"/>
      <c r="B235" s="154"/>
      <c r="C235" s="26"/>
      <c r="D235" s="9"/>
      <c r="E235" s="9"/>
      <c r="F235" s="142"/>
      <c r="G235" s="195"/>
      <c r="H235" s="117"/>
      <c r="I235" s="117"/>
      <c r="J235" s="117"/>
      <c r="K235" s="117"/>
      <c r="L235" s="117"/>
      <c r="M235" s="9"/>
      <c r="N235" s="112"/>
      <c r="O235" s="153"/>
      <c r="P235" s="153"/>
      <c r="Q235" s="153"/>
      <c r="R235" s="101"/>
      <c r="S235" s="101"/>
      <c r="T235" s="101"/>
      <c r="U235" s="101"/>
      <c r="V235" s="101"/>
      <c r="W235" s="101"/>
      <c r="X235" s="101"/>
      <c r="Y235" s="101"/>
      <c r="Z235" s="101"/>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13"/>
      <c r="BK235" s="213"/>
    </row>
    <row r="236" spans="1:63">
      <c r="A236" s="9"/>
      <c r="B236" s="154" t="s">
        <v>57</v>
      </c>
      <c r="C236" s="26"/>
      <c r="D236" s="9"/>
      <c r="E236" s="9"/>
      <c r="F236" s="142"/>
      <c r="G236" s="195">
        <f>SUM(G237:G266)</f>
        <v>0</v>
      </c>
      <c r="H236" s="117"/>
      <c r="I236" s="117"/>
      <c r="J236" s="117"/>
      <c r="K236" s="117"/>
      <c r="L236" s="117"/>
      <c r="M236" s="9"/>
      <c r="N236" s="112"/>
      <c r="O236" s="153"/>
      <c r="P236" s="153"/>
      <c r="Q236" s="153"/>
      <c r="R236" s="101"/>
      <c r="S236" s="101"/>
      <c r="T236" s="101"/>
      <c r="U236" s="101"/>
      <c r="V236" s="101"/>
      <c r="W236" s="101"/>
      <c r="X236" s="101"/>
      <c r="Y236" s="101"/>
      <c r="Z236" s="101"/>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13"/>
      <c r="BK236" s="213"/>
    </row>
    <row r="237" spans="1:63" ht="12.75" hidden="1" customHeight="1" outlineLevel="1">
      <c r="A237" s="9"/>
      <c r="B237" s="9"/>
      <c r="C237" s="130" t="str">
        <f>Asset1</f>
        <v>Subtransmission</v>
      </c>
      <c r="D237" s="9"/>
      <c r="E237" s="9"/>
      <c r="F237" s="142"/>
      <c r="G237" s="193">
        <f t="shared" ref="G237:G256" si="2">G205-G173</f>
        <v>0</v>
      </c>
      <c r="H237" s="117"/>
      <c r="I237" s="117"/>
      <c r="J237" s="117"/>
      <c r="K237" s="117"/>
      <c r="L237" s="117"/>
      <c r="M237" s="9"/>
      <c r="N237" s="112"/>
      <c r="O237" s="153"/>
      <c r="P237" s="153"/>
      <c r="Q237" s="153"/>
      <c r="R237" s="101"/>
      <c r="S237" s="101"/>
      <c r="T237" s="101"/>
      <c r="U237" s="101"/>
      <c r="V237" s="101"/>
      <c r="W237" s="101"/>
      <c r="X237" s="101"/>
      <c r="Y237" s="101"/>
      <c r="Z237" s="101"/>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13"/>
      <c r="BK237" s="213"/>
    </row>
    <row r="238" spans="1:63" ht="12.75" hidden="1" customHeight="1" outlineLevel="1">
      <c r="A238" s="9"/>
      <c r="B238" s="46"/>
      <c r="C238" s="130" t="str">
        <f>Asset2</f>
        <v>Distribution system assets</v>
      </c>
      <c r="D238" s="9"/>
      <c r="E238" s="9"/>
      <c r="F238" s="142"/>
      <c r="G238" s="193">
        <f t="shared" si="2"/>
        <v>0</v>
      </c>
      <c r="H238" s="117"/>
      <c r="I238" s="117"/>
      <c r="J238" s="117"/>
      <c r="K238" s="117"/>
      <c r="L238" s="117"/>
      <c r="M238" s="9"/>
      <c r="N238" s="112"/>
      <c r="O238" s="153"/>
      <c r="P238" s="153"/>
      <c r="Q238" s="153"/>
      <c r="R238" s="101"/>
      <c r="S238" s="101"/>
      <c r="T238" s="101"/>
      <c r="U238" s="101"/>
      <c r="V238" s="101"/>
      <c r="W238" s="101"/>
      <c r="X238" s="101"/>
      <c r="Y238" s="101"/>
      <c r="Z238" s="101"/>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13"/>
      <c r="BK238" s="213"/>
    </row>
    <row r="239" spans="1:63" ht="12.75" hidden="1" customHeight="1" outlineLevel="1">
      <c r="A239" s="9"/>
      <c r="B239" s="46"/>
      <c r="C239" s="130" t="str">
        <f>Asset3</f>
        <v>Standard metering</v>
      </c>
      <c r="D239" s="9"/>
      <c r="E239" s="9"/>
      <c r="F239" s="142"/>
      <c r="G239" s="193">
        <f t="shared" si="2"/>
        <v>0</v>
      </c>
      <c r="H239" s="117"/>
      <c r="I239" s="117"/>
      <c r="J239" s="117"/>
      <c r="K239" s="117"/>
      <c r="L239" s="117"/>
      <c r="M239" s="9"/>
      <c r="N239" s="112"/>
      <c r="O239" s="153"/>
      <c r="P239" s="153"/>
      <c r="Q239" s="153"/>
      <c r="R239" s="101"/>
      <c r="S239" s="101"/>
      <c r="T239" s="101"/>
      <c r="U239" s="101"/>
      <c r="V239" s="101"/>
      <c r="W239" s="101"/>
      <c r="X239" s="101"/>
      <c r="Y239" s="101"/>
      <c r="Z239" s="101"/>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13"/>
      <c r="BK239" s="213"/>
    </row>
    <row r="240" spans="1:63" ht="12.75" hidden="1" customHeight="1" outlineLevel="1">
      <c r="A240" s="9"/>
      <c r="B240" s="46"/>
      <c r="C240" s="130" t="str">
        <f>Asset4</f>
        <v>Public lighting</v>
      </c>
      <c r="D240" s="9"/>
      <c r="E240" s="9"/>
      <c r="F240" s="142"/>
      <c r="G240" s="193">
        <f t="shared" si="2"/>
        <v>0</v>
      </c>
      <c r="H240" s="117"/>
      <c r="I240" s="117"/>
      <c r="J240" s="117"/>
      <c r="K240" s="117"/>
      <c r="L240" s="117"/>
      <c r="M240" s="9"/>
      <c r="N240" s="112"/>
      <c r="O240" s="153"/>
      <c r="P240" s="153"/>
      <c r="Q240" s="153"/>
      <c r="R240" s="101"/>
      <c r="S240" s="101"/>
      <c r="T240" s="101"/>
      <c r="U240" s="101"/>
      <c r="V240" s="101"/>
      <c r="W240" s="101"/>
      <c r="X240" s="101"/>
      <c r="Y240" s="101"/>
      <c r="Z240" s="101"/>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13"/>
      <c r="BK240" s="213"/>
    </row>
    <row r="241" spans="1:63" ht="12.75" hidden="1" customHeight="1" outlineLevel="1">
      <c r="A241" s="9"/>
      <c r="B241" s="46"/>
      <c r="C241" s="130" t="str">
        <f>Asset5</f>
        <v>SCADA/Network control</v>
      </c>
      <c r="D241" s="9"/>
      <c r="E241" s="9"/>
      <c r="F241" s="142"/>
      <c r="G241" s="193">
        <f t="shared" si="2"/>
        <v>0</v>
      </c>
      <c r="H241" s="117"/>
      <c r="I241" s="117"/>
      <c r="J241" s="117"/>
      <c r="K241" s="117"/>
      <c r="L241" s="117"/>
      <c r="M241" s="9"/>
      <c r="N241" s="112"/>
      <c r="O241" s="153"/>
      <c r="P241" s="153"/>
      <c r="Q241" s="153"/>
      <c r="R241" s="101"/>
      <c r="S241" s="101"/>
      <c r="T241" s="101"/>
      <c r="U241" s="101"/>
      <c r="V241" s="101"/>
      <c r="W241" s="101"/>
      <c r="X241" s="101"/>
      <c r="Y241" s="101"/>
      <c r="Z241" s="101"/>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13"/>
      <c r="BK241" s="213"/>
    </row>
    <row r="242" spans="1:63" ht="12.75" hidden="1" customHeight="1" outlineLevel="1">
      <c r="A242" s="9"/>
      <c r="B242" s="46"/>
      <c r="C242" s="130" t="str">
        <f>Asset6</f>
        <v>Non-network general assets - IT</v>
      </c>
      <c r="D242" s="9"/>
      <c r="E242" s="9"/>
      <c r="F242" s="142"/>
      <c r="G242" s="193">
        <f t="shared" si="2"/>
        <v>0</v>
      </c>
      <c r="H242" s="117"/>
      <c r="I242" s="117"/>
      <c r="J242" s="117"/>
      <c r="K242" s="117"/>
      <c r="L242" s="117"/>
      <c r="M242" s="9"/>
      <c r="N242" s="112"/>
      <c r="O242" s="153"/>
      <c r="P242" s="153"/>
      <c r="Q242" s="153"/>
      <c r="R242" s="101"/>
      <c r="S242" s="101"/>
      <c r="T242" s="101"/>
      <c r="U242" s="101"/>
      <c r="V242" s="101"/>
      <c r="W242" s="101"/>
      <c r="X242" s="101"/>
      <c r="Y242" s="101"/>
      <c r="Z242" s="101"/>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13"/>
      <c r="BK242" s="213"/>
    </row>
    <row r="243" spans="1:63" ht="12.75" hidden="1" customHeight="1" outlineLevel="1">
      <c r="A243" s="9"/>
      <c r="B243" s="46"/>
      <c r="C243" s="130" t="str">
        <f>Asset7</f>
        <v>Non-network general assets - Other</v>
      </c>
      <c r="D243" s="9"/>
      <c r="E243" s="9"/>
      <c r="F243" s="142"/>
      <c r="G243" s="193">
        <f t="shared" si="2"/>
        <v>0</v>
      </c>
      <c r="H243" s="117"/>
      <c r="I243" s="117"/>
      <c r="J243" s="117"/>
      <c r="K243" s="117"/>
      <c r="L243" s="117"/>
      <c r="M243" s="9"/>
      <c r="N243" s="112"/>
      <c r="O243" s="153"/>
      <c r="P243" s="153"/>
      <c r="Q243" s="153"/>
      <c r="R243" s="101"/>
      <c r="S243" s="101"/>
      <c r="T243" s="101"/>
      <c r="U243" s="101"/>
      <c r="V243" s="101"/>
      <c r="W243" s="101"/>
      <c r="X243" s="101"/>
      <c r="Y243" s="101"/>
      <c r="Z243" s="101"/>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13"/>
      <c r="BK243" s="213"/>
    </row>
    <row r="244" spans="1:63" ht="12.75" hidden="1" customHeight="1" outlineLevel="1">
      <c r="A244" s="9"/>
      <c r="B244" s="46"/>
      <c r="C244" s="130" t="str">
        <f>Asset8</f>
        <v>VBRC</v>
      </c>
      <c r="D244" s="9"/>
      <c r="E244" s="9"/>
      <c r="F244" s="142"/>
      <c r="G244" s="193">
        <f t="shared" si="2"/>
        <v>0</v>
      </c>
      <c r="H244" s="117"/>
      <c r="I244" s="117"/>
      <c r="J244" s="117"/>
      <c r="K244" s="117"/>
      <c r="L244" s="117"/>
      <c r="M244" s="9"/>
      <c r="N244" s="112"/>
      <c r="O244" s="153"/>
      <c r="P244" s="153"/>
      <c r="Q244" s="153"/>
      <c r="R244" s="101"/>
      <c r="S244" s="101"/>
      <c r="T244" s="101"/>
      <c r="U244" s="101"/>
      <c r="V244" s="101"/>
      <c r="W244" s="101"/>
      <c r="X244" s="101"/>
      <c r="Y244" s="101"/>
      <c r="Z244" s="101"/>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13"/>
      <c r="BK244" s="213"/>
    </row>
    <row r="245" spans="1:63" ht="12.75" hidden="1" customHeight="1" outlineLevel="1">
      <c r="A245" s="9"/>
      <c r="B245" s="46"/>
      <c r="C245" s="130" t="str">
        <f>Asset9</f>
        <v>Equity raising</v>
      </c>
      <c r="D245" s="9"/>
      <c r="E245" s="9"/>
      <c r="F245" s="142"/>
      <c r="G245" s="193">
        <f t="shared" si="2"/>
        <v>0</v>
      </c>
      <c r="H245" s="117"/>
      <c r="I245" s="117"/>
      <c r="J245" s="117"/>
      <c r="K245" s="117"/>
      <c r="L245" s="117"/>
      <c r="M245" s="9"/>
      <c r="N245" s="112"/>
      <c r="O245" s="153"/>
      <c r="P245" s="153"/>
      <c r="Q245" s="153"/>
      <c r="R245" s="101"/>
      <c r="S245" s="101"/>
      <c r="T245" s="101"/>
      <c r="U245" s="101"/>
      <c r="V245" s="101"/>
      <c r="W245" s="101"/>
      <c r="X245" s="101"/>
      <c r="Y245" s="101"/>
      <c r="Z245" s="101"/>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13"/>
      <c r="BK245" s="213"/>
    </row>
    <row r="246" spans="1:63" ht="12.75" hidden="1" customHeight="1" outlineLevel="1">
      <c r="A246" s="9"/>
      <c r="B246" s="46"/>
      <c r="C246" s="130">
        <f>Asset10</f>
        <v>0</v>
      </c>
      <c r="D246" s="9"/>
      <c r="E246" s="9"/>
      <c r="F246" s="142"/>
      <c r="G246" s="193">
        <f t="shared" si="2"/>
        <v>0</v>
      </c>
      <c r="H246" s="117"/>
      <c r="I246" s="117"/>
      <c r="J246" s="117"/>
      <c r="K246" s="117"/>
      <c r="L246" s="117"/>
      <c r="M246" s="9"/>
      <c r="N246" s="112"/>
      <c r="O246" s="153"/>
      <c r="P246" s="153"/>
      <c r="Q246" s="153"/>
      <c r="R246" s="101"/>
      <c r="S246" s="101"/>
      <c r="T246" s="101"/>
      <c r="U246" s="101"/>
      <c r="V246" s="101"/>
      <c r="W246" s="101"/>
      <c r="X246" s="101"/>
      <c r="Y246" s="101"/>
      <c r="Z246" s="101"/>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13"/>
      <c r="BK246" s="213"/>
    </row>
    <row r="247" spans="1:63" ht="12.75" hidden="1" customHeight="1" outlineLevel="1">
      <c r="A247" s="9"/>
      <c r="B247" s="46"/>
      <c r="C247" s="130">
        <f>Asset11</f>
        <v>0</v>
      </c>
      <c r="D247" s="9"/>
      <c r="E247" s="9"/>
      <c r="F247" s="142"/>
      <c r="G247" s="193">
        <f t="shared" si="2"/>
        <v>0</v>
      </c>
      <c r="H247" s="117"/>
      <c r="I247" s="117"/>
      <c r="J247" s="117"/>
      <c r="K247" s="117"/>
      <c r="L247" s="117"/>
      <c r="M247" s="9"/>
      <c r="N247" s="112"/>
      <c r="O247" s="153"/>
      <c r="P247" s="153"/>
      <c r="Q247" s="153"/>
      <c r="R247" s="101"/>
      <c r="S247" s="101"/>
      <c r="T247" s="101"/>
      <c r="U247" s="101"/>
      <c r="V247" s="101"/>
      <c r="W247" s="101"/>
      <c r="X247" s="101"/>
      <c r="Y247" s="101"/>
      <c r="Z247" s="101"/>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13"/>
      <c r="BK247" s="213"/>
    </row>
    <row r="248" spans="1:63" ht="12.75" hidden="1" customHeight="1" outlineLevel="1">
      <c r="A248" s="9"/>
      <c r="B248" s="46"/>
      <c r="C248" s="130">
        <f>Asset12</f>
        <v>0</v>
      </c>
      <c r="D248" s="9"/>
      <c r="E248" s="9"/>
      <c r="F248" s="142"/>
      <c r="G248" s="193">
        <f t="shared" si="2"/>
        <v>0</v>
      </c>
      <c r="H248" s="117"/>
      <c r="I248" s="117"/>
      <c r="J248" s="117"/>
      <c r="K248" s="117"/>
      <c r="L248" s="117"/>
      <c r="M248" s="9"/>
      <c r="N248" s="112"/>
      <c r="O248" s="153"/>
      <c r="P248" s="153"/>
      <c r="Q248" s="153"/>
      <c r="R248" s="101"/>
      <c r="S248" s="101"/>
      <c r="T248" s="101"/>
      <c r="U248" s="101"/>
      <c r="V248" s="101"/>
      <c r="W248" s="101"/>
      <c r="X248" s="101"/>
      <c r="Y248" s="101"/>
      <c r="Z248" s="101"/>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13"/>
      <c r="BK248" s="213"/>
    </row>
    <row r="249" spans="1:63" ht="12.75" hidden="1" customHeight="1" outlineLevel="1">
      <c r="A249" s="9"/>
      <c r="B249" s="46"/>
      <c r="C249" s="130">
        <f>Asset13</f>
        <v>0</v>
      </c>
      <c r="D249" s="9"/>
      <c r="E249" s="9"/>
      <c r="F249" s="142"/>
      <c r="G249" s="193">
        <f t="shared" si="2"/>
        <v>0</v>
      </c>
      <c r="H249" s="117"/>
      <c r="I249" s="117"/>
      <c r="J249" s="117"/>
      <c r="K249" s="117"/>
      <c r="L249" s="117"/>
      <c r="M249" s="9"/>
      <c r="N249" s="112"/>
      <c r="O249" s="153"/>
      <c r="P249" s="153"/>
      <c r="Q249" s="153"/>
      <c r="R249" s="101"/>
      <c r="S249" s="101"/>
      <c r="T249" s="101"/>
      <c r="U249" s="101"/>
      <c r="V249" s="101"/>
      <c r="W249" s="101"/>
      <c r="X249" s="101"/>
      <c r="Y249" s="101"/>
      <c r="Z249" s="101"/>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13"/>
      <c r="BK249" s="213"/>
    </row>
    <row r="250" spans="1:63" ht="12.75" hidden="1" customHeight="1" outlineLevel="1">
      <c r="A250" s="9"/>
      <c r="B250" s="46"/>
      <c r="C250" s="130">
        <f>Asset14</f>
        <v>0</v>
      </c>
      <c r="D250" s="9"/>
      <c r="E250" s="9"/>
      <c r="F250" s="142"/>
      <c r="G250" s="193">
        <f t="shared" si="2"/>
        <v>0</v>
      </c>
      <c r="H250" s="117"/>
      <c r="I250" s="117"/>
      <c r="J250" s="117"/>
      <c r="K250" s="117"/>
      <c r="L250" s="117"/>
      <c r="M250" s="9"/>
      <c r="N250" s="112"/>
      <c r="O250" s="153"/>
      <c r="P250" s="153"/>
      <c r="Q250" s="153"/>
      <c r="R250" s="101"/>
      <c r="S250" s="101"/>
      <c r="T250" s="101"/>
      <c r="U250" s="101"/>
      <c r="V250" s="101"/>
      <c r="W250" s="101"/>
      <c r="X250" s="101"/>
      <c r="Y250" s="101"/>
      <c r="Z250" s="101"/>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13"/>
      <c r="BK250" s="213"/>
    </row>
    <row r="251" spans="1:63" ht="12.75" hidden="1" customHeight="1" outlineLevel="1">
      <c r="A251" s="9"/>
      <c r="B251" s="46"/>
      <c r="C251" s="130">
        <f>Asset15</f>
        <v>0</v>
      </c>
      <c r="D251" s="9"/>
      <c r="E251" s="9"/>
      <c r="F251" s="142"/>
      <c r="G251" s="193">
        <f t="shared" si="2"/>
        <v>0</v>
      </c>
      <c r="H251" s="117"/>
      <c r="I251" s="117"/>
      <c r="J251" s="117"/>
      <c r="K251" s="117"/>
      <c r="L251" s="117"/>
      <c r="M251" s="9"/>
      <c r="N251" s="112"/>
      <c r="O251" s="153"/>
      <c r="P251" s="153"/>
      <c r="Q251" s="153"/>
      <c r="R251" s="101"/>
      <c r="S251" s="101"/>
      <c r="T251" s="101"/>
      <c r="U251" s="101"/>
      <c r="V251" s="101"/>
      <c r="W251" s="101"/>
      <c r="X251" s="101"/>
      <c r="Y251" s="101"/>
      <c r="Z251" s="101"/>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13"/>
      <c r="BK251" s="213"/>
    </row>
    <row r="252" spans="1:63" ht="12.75" hidden="1" customHeight="1" outlineLevel="1">
      <c r="A252" s="9"/>
      <c r="B252" s="46"/>
      <c r="C252" s="130">
        <f>Asset16</f>
        <v>0</v>
      </c>
      <c r="D252" s="9"/>
      <c r="E252" s="9"/>
      <c r="F252" s="142"/>
      <c r="G252" s="193">
        <f t="shared" si="2"/>
        <v>0</v>
      </c>
      <c r="H252" s="117"/>
      <c r="I252" s="117"/>
      <c r="J252" s="117"/>
      <c r="K252" s="117"/>
      <c r="L252" s="117"/>
      <c r="M252" s="9"/>
      <c r="N252" s="112"/>
      <c r="O252" s="153"/>
      <c r="P252" s="153"/>
      <c r="Q252" s="153"/>
      <c r="R252" s="101"/>
      <c r="S252" s="101"/>
      <c r="T252" s="101"/>
      <c r="U252" s="101"/>
      <c r="V252" s="101"/>
      <c r="W252" s="101"/>
      <c r="X252" s="101"/>
      <c r="Y252" s="101"/>
      <c r="Z252" s="101"/>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13"/>
      <c r="BK252" s="213"/>
    </row>
    <row r="253" spans="1:63" ht="12.75" hidden="1" customHeight="1" outlineLevel="1">
      <c r="A253" s="9"/>
      <c r="B253" s="46"/>
      <c r="C253" s="130">
        <f>Asset17</f>
        <v>0</v>
      </c>
      <c r="D253" s="9"/>
      <c r="E253" s="9"/>
      <c r="F253" s="142"/>
      <c r="G253" s="193">
        <f t="shared" si="2"/>
        <v>0</v>
      </c>
      <c r="H253" s="117"/>
      <c r="I253" s="117"/>
      <c r="J253" s="117"/>
      <c r="K253" s="117"/>
      <c r="L253" s="117"/>
      <c r="M253" s="9"/>
      <c r="N253" s="112"/>
      <c r="O253" s="153"/>
      <c r="P253" s="153"/>
      <c r="Q253" s="153"/>
      <c r="R253" s="101"/>
      <c r="S253" s="101"/>
      <c r="T253" s="101"/>
      <c r="U253" s="101"/>
      <c r="V253" s="101"/>
      <c r="W253" s="101"/>
      <c r="X253" s="101"/>
      <c r="Y253" s="101"/>
      <c r="Z253" s="101"/>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13"/>
      <c r="BK253" s="213"/>
    </row>
    <row r="254" spans="1:63" ht="12.75" hidden="1" customHeight="1" outlineLevel="1">
      <c r="A254" s="9"/>
      <c r="B254" s="46"/>
      <c r="C254" s="130">
        <f>Asset18</f>
        <v>0</v>
      </c>
      <c r="D254" s="9"/>
      <c r="E254" s="9"/>
      <c r="F254" s="142"/>
      <c r="G254" s="193">
        <f t="shared" si="2"/>
        <v>0</v>
      </c>
      <c r="H254" s="117"/>
      <c r="I254" s="117"/>
      <c r="J254" s="117"/>
      <c r="K254" s="117"/>
      <c r="L254" s="117"/>
      <c r="M254" s="9"/>
      <c r="N254" s="112"/>
      <c r="O254" s="153"/>
      <c r="P254" s="153"/>
      <c r="Q254" s="153"/>
      <c r="R254" s="101"/>
      <c r="S254" s="101"/>
      <c r="T254" s="101"/>
      <c r="U254" s="101"/>
      <c r="V254" s="101"/>
      <c r="W254" s="101"/>
      <c r="X254" s="101"/>
      <c r="Y254" s="101"/>
      <c r="Z254" s="101"/>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13"/>
      <c r="BK254" s="213"/>
    </row>
    <row r="255" spans="1:63" ht="12.75" hidden="1" customHeight="1" outlineLevel="1">
      <c r="A255" s="9"/>
      <c r="B255" s="46"/>
      <c r="C255" s="130">
        <f>Asset19</f>
        <v>0</v>
      </c>
      <c r="D255" s="9"/>
      <c r="E255" s="9"/>
      <c r="F255" s="142"/>
      <c r="G255" s="193">
        <f t="shared" si="2"/>
        <v>0</v>
      </c>
      <c r="H255" s="117"/>
      <c r="I255" s="117"/>
      <c r="J255" s="117"/>
      <c r="K255" s="117"/>
      <c r="L255" s="117"/>
      <c r="M255" s="9"/>
      <c r="N255" s="112"/>
      <c r="O255" s="153"/>
      <c r="P255" s="153"/>
      <c r="Q255" s="153"/>
      <c r="R255" s="101"/>
      <c r="S255" s="101"/>
      <c r="T255" s="101"/>
      <c r="U255" s="101"/>
      <c r="V255" s="101"/>
      <c r="W255" s="101"/>
      <c r="X255" s="101"/>
      <c r="Y255" s="101"/>
      <c r="Z255" s="101"/>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13"/>
      <c r="BK255" s="213"/>
    </row>
    <row r="256" spans="1:63" ht="12.75" hidden="1" customHeight="1" outlineLevel="1">
      <c r="A256" s="9"/>
      <c r="B256" s="46"/>
      <c r="C256" s="130">
        <f>Asset20</f>
        <v>0</v>
      </c>
      <c r="D256" s="9"/>
      <c r="E256" s="9"/>
      <c r="F256" s="142"/>
      <c r="G256" s="193">
        <f t="shared" si="2"/>
        <v>0</v>
      </c>
      <c r="H256" s="117"/>
      <c r="I256" s="117"/>
      <c r="J256" s="117"/>
      <c r="K256" s="117"/>
      <c r="L256" s="117"/>
      <c r="M256" s="9"/>
      <c r="N256" s="112"/>
      <c r="O256" s="153"/>
      <c r="P256" s="153"/>
      <c r="Q256" s="153"/>
      <c r="R256" s="101"/>
      <c r="S256" s="101"/>
      <c r="T256" s="101"/>
      <c r="U256" s="101"/>
      <c r="V256" s="101"/>
      <c r="W256" s="101"/>
      <c r="X256" s="101"/>
      <c r="Y256" s="101"/>
      <c r="Z256" s="101"/>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13"/>
      <c r="BK256" s="213"/>
    </row>
    <row r="257" spans="1:63" ht="12.75" hidden="1" customHeight="1" outlineLevel="1">
      <c r="A257" s="9"/>
      <c r="B257" s="46"/>
      <c r="C257" s="130">
        <f>Asset21</f>
        <v>0</v>
      </c>
      <c r="D257" s="9"/>
      <c r="E257" s="9"/>
      <c r="F257" s="142"/>
      <c r="G257" s="193">
        <f t="shared" ref="G257:G266" si="3">G225-G193</f>
        <v>0</v>
      </c>
      <c r="H257" s="117"/>
      <c r="I257" s="117"/>
      <c r="J257" s="117"/>
      <c r="K257" s="117"/>
      <c r="L257" s="117"/>
      <c r="M257" s="9"/>
      <c r="N257" s="112"/>
      <c r="O257" s="153"/>
      <c r="P257" s="153"/>
      <c r="Q257" s="153"/>
      <c r="R257" s="101"/>
      <c r="S257" s="101"/>
      <c r="T257" s="101"/>
      <c r="U257" s="101"/>
      <c r="V257" s="101"/>
      <c r="W257" s="101"/>
      <c r="X257" s="101"/>
      <c r="Y257" s="101"/>
      <c r="Z257" s="101"/>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13"/>
      <c r="BK257" s="213"/>
    </row>
    <row r="258" spans="1:63" ht="12.75" hidden="1" customHeight="1" outlineLevel="1">
      <c r="A258" s="9"/>
      <c r="B258" s="46"/>
      <c r="C258" s="130">
        <f>Asset22</f>
        <v>0</v>
      </c>
      <c r="D258" s="9"/>
      <c r="E258" s="9"/>
      <c r="F258" s="142"/>
      <c r="G258" s="193">
        <f t="shared" si="3"/>
        <v>0</v>
      </c>
      <c r="H258" s="117"/>
      <c r="I258" s="117"/>
      <c r="J258" s="117"/>
      <c r="K258" s="117"/>
      <c r="L258" s="117"/>
      <c r="M258" s="9"/>
      <c r="N258" s="112"/>
      <c r="O258" s="153"/>
      <c r="P258" s="153"/>
      <c r="Q258" s="153"/>
      <c r="R258" s="101"/>
      <c r="S258" s="101"/>
      <c r="T258" s="101"/>
      <c r="U258" s="101"/>
      <c r="V258" s="101"/>
      <c r="W258" s="101"/>
      <c r="X258" s="101"/>
      <c r="Y258" s="101"/>
      <c r="Z258" s="101"/>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13"/>
      <c r="BK258" s="213"/>
    </row>
    <row r="259" spans="1:63" ht="12.75" hidden="1" customHeight="1" outlineLevel="1">
      <c r="A259" s="9"/>
      <c r="B259" s="46"/>
      <c r="C259" s="130">
        <f>Asset23</f>
        <v>0</v>
      </c>
      <c r="D259" s="9"/>
      <c r="E259" s="9"/>
      <c r="F259" s="142"/>
      <c r="G259" s="193">
        <f t="shared" si="3"/>
        <v>0</v>
      </c>
      <c r="H259" s="117"/>
      <c r="I259" s="117"/>
      <c r="J259" s="117"/>
      <c r="K259" s="117"/>
      <c r="L259" s="117"/>
      <c r="M259" s="9"/>
      <c r="N259" s="112"/>
      <c r="O259" s="153"/>
      <c r="P259" s="153"/>
      <c r="Q259" s="153"/>
      <c r="R259" s="101"/>
      <c r="S259" s="101"/>
      <c r="T259" s="101"/>
      <c r="U259" s="101"/>
      <c r="V259" s="101"/>
      <c r="W259" s="101"/>
      <c r="X259" s="101"/>
      <c r="Y259" s="101"/>
      <c r="Z259" s="101"/>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13"/>
      <c r="BK259" s="213"/>
    </row>
    <row r="260" spans="1:63" ht="12.75" hidden="1" customHeight="1" outlineLevel="1">
      <c r="A260" s="9"/>
      <c r="B260" s="46"/>
      <c r="C260" s="130">
        <f>Asset24</f>
        <v>0</v>
      </c>
      <c r="D260" s="9"/>
      <c r="E260" s="9"/>
      <c r="F260" s="142"/>
      <c r="G260" s="193">
        <f t="shared" si="3"/>
        <v>0</v>
      </c>
      <c r="H260" s="117"/>
      <c r="I260" s="117"/>
      <c r="J260" s="117"/>
      <c r="K260" s="117"/>
      <c r="L260" s="117"/>
      <c r="M260" s="9"/>
      <c r="N260" s="112"/>
      <c r="O260" s="153"/>
      <c r="P260" s="153"/>
      <c r="Q260" s="153"/>
      <c r="R260" s="101"/>
      <c r="S260" s="101"/>
      <c r="T260" s="101"/>
      <c r="U260" s="101"/>
      <c r="V260" s="101"/>
      <c r="W260" s="101"/>
      <c r="X260" s="101"/>
      <c r="Y260" s="101"/>
      <c r="Z260" s="101"/>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13"/>
      <c r="BK260" s="213"/>
    </row>
    <row r="261" spans="1:63" ht="12.75" hidden="1" customHeight="1" outlineLevel="1">
      <c r="A261" s="9"/>
      <c r="B261" s="46"/>
      <c r="C261" s="130">
        <f>Asset25</f>
        <v>0</v>
      </c>
      <c r="D261" s="9"/>
      <c r="E261" s="9"/>
      <c r="F261" s="142"/>
      <c r="G261" s="193">
        <f t="shared" si="3"/>
        <v>0</v>
      </c>
      <c r="H261" s="117"/>
      <c r="I261" s="117"/>
      <c r="J261" s="117"/>
      <c r="K261" s="117"/>
      <c r="L261" s="117"/>
      <c r="M261" s="9"/>
      <c r="N261" s="112"/>
      <c r="O261" s="153"/>
      <c r="P261" s="153"/>
      <c r="Q261" s="153"/>
      <c r="R261" s="101"/>
      <c r="S261" s="101"/>
      <c r="T261" s="101"/>
      <c r="U261" s="101"/>
      <c r="V261" s="101"/>
      <c r="W261" s="101"/>
      <c r="X261" s="101"/>
      <c r="Y261" s="101"/>
      <c r="Z261" s="101"/>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13"/>
      <c r="BK261" s="213"/>
    </row>
    <row r="262" spans="1:63" ht="12.75" hidden="1" customHeight="1" outlineLevel="1">
      <c r="A262" s="9"/>
      <c r="B262" s="46"/>
      <c r="C262" s="130">
        <f>Asset26</f>
        <v>0</v>
      </c>
      <c r="D262" s="9"/>
      <c r="E262" s="9"/>
      <c r="F262" s="142"/>
      <c r="G262" s="193">
        <f t="shared" si="3"/>
        <v>0</v>
      </c>
      <c r="H262" s="117"/>
      <c r="I262" s="117"/>
      <c r="J262" s="117"/>
      <c r="K262" s="117"/>
      <c r="L262" s="117"/>
      <c r="M262" s="9"/>
      <c r="N262" s="112"/>
      <c r="O262" s="153"/>
      <c r="P262" s="153"/>
      <c r="Q262" s="153"/>
      <c r="R262" s="101"/>
      <c r="S262" s="101"/>
      <c r="T262" s="101"/>
      <c r="U262" s="101"/>
      <c r="V262" s="101"/>
      <c r="W262" s="101"/>
      <c r="X262" s="101"/>
      <c r="Y262" s="101"/>
      <c r="Z262" s="101"/>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13"/>
      <c r="BK262" s="213"/>
    </row>
    <row r="263" spans="1:63" ht="12.75" hidden="1" customHeight="1" outlineLevel="1">
      <c r="A263" s="9"/>
      <c r="B263" s="46"/>
      <c r="C263" s="130">
        <f>Asset27</f>
        <v>0</v>
      </c>
      <c r="D263" s="9"/>
      <c r="E263" s="9"/>
      <c r="F263" s="142"/>
      <c r="G263" s="193">
        <f t="shared" si="3"/>
        <v>0</v>
      </c>
      <c r="H263" s="117"/>
      <c r="I263" s="117"/>
      <c r="J263" s="117"/>
      <c r="K263" s="117"/>
      <c r="L263" s="117"/>
      <c r="M263" s="9"/>
      <c r="N263" s="112"/>
      <c r="O263" s="153"/>
      <c r="P263" s="153"/>
      <c r="Q263" s="153"/>
      <c r="R263" s="101"/>
      <c r="S263" s="101"/>
      <c r="T263" s="101"/>
      <c r="U263" s="101"/>
      <c r="V263" s="101"/>
      <c r="W263" s="101"/>
      <c r="X263" s="101"/>
      <c r="Y263" s="101"/>
      <c r="Z263" s="10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13"/>
      <c r="BK263" s="213"/>
    </row>
    <row r="264" spans="1:63" ht="12.75" hidden="1" customHeight="1" outlineLevel="1">
      <c r="A264" s="9"/>
      <c r="B264" s="46"/>
      <c r="C264" s="130">
        <f>Asset28</f>
        <v>0</v>
      </c>
      <c r="D264" s="9"/>
      <c r="E264" s="9"/>
      <c r="F264" s="142"/>
      <c r="G264" s="193">
        <f t="shared" si="3"/>
        <v>0</v>
      </c>
      <c r="H264" s="117"/>
      <c r="I264" s="117"/>
      <c r="J264" s="117"/>
      <c r="K264" s="117"/>
      <c r="L264" s="117"/>
      <c r="M264" s="9"/>
      <c r="N264" s="112"/>
      <c r="O264" s="153"/>
      <c r="P264" s="153"/>
      <c r="Q264" s="153"/>
      <c r="R264" s="101"/>
      <c r="S264" s="101"/>
      <c r="T264" s="101"/>
      <c r="U264" s="101"/>
      <c r="V264" s="101"/>
      <c r="W264" s="101"/>
      <c r="X264" s="101"/>
      <c r="Y264" s="101"/>
      <c r="Z264" s="101"/>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13"/>
      <c r="BK264" s="213"/>
    </row>
    <row r="265" spans="1:63" ht="12.75" hidden="1" customHeight="1" outlineLevel="1">
      <c r="A265" s="9"/>
      <c r="B265" s="46"/>
      <c r="C265" s="130">
        <f>Asset29</f>
        <v>0</v>
      </c>
      <c r="D265" s="9"/>
      <c r="E265" s="9"/>
      <c r="F265" s="142"/>
      <c r="G265" s="193">
        <f t="shared" si="3"/>
        <v>0</v>
      </c>
      <c r="H265" s="117"/>
      <c r="I265" s="117"/>
      <c r="J265" s="117"/>
      <c r="K265" s="117"/>
      <c r="L265" s="117"/>
      <c r="M265" s="9"/>
      <c r="N265" s="112"/>
      <c r="O265" s="153"/>
      <c r="P265" s="153"/>
      <c r="Q265" s="153"/>
      <c r="R265" s="101"/>
      <c r="S265" s="101"/>
      <c r="T265" s="101"/>
      <c r="U265" s="101"/>
      <c r="V265" s="101"/>
      <c r="W265" s="101"/>
      <c r="X265" s="101"/>
      <c r="Y265" s="101"/>
      <c r="Z265" s="101"/>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13"/>
      <c r="BK265" s="213"/>
    </row>
    <row r="266" spans="1:63" ht="12.75" hidden="1" customHeight="1" outlineLevel="1">
      <c r="A266" s="9"/>
      <c r="B266" s="46"/>
      <c r="C266" s="130">
        <f>Asset30</f>
        <v>0</v>
      </c>
      <c r="D266" s="9"/>
      <c r="E266" s="9"/>
      <c r="F266" s="142"/>
      <c r="G266" s="193">
        <f t="shared" si="3"/>
        <v>0</v>
      </c>
      <c r="H266" s="117"/>
      <c r="I266" s="117"/>
      <c r="J266" s="117"/>
      <c r="K266" s="117"/>
      <c r="L266" s="117"/>
      <c r="M266" s="9"/>
      <c r="N266" s="112"/>
      <c r="O266" s="153"/>
      <c r="P266" s="153"/>
      <c r="Q266" s="153"/>
      <c r="R266" s="101"/>
      <c r="S266" s="101"/>
      <c r="T266" s="101"/>
      <c r="U266" s="101"/>
      <c r="V266" s="101"/>
      <c r="W266" s="101"/>
      <c r="X266" s="101"/>
      <c r="Y266" s="101"/>
      <c r="Z266" s="101"/>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13"/>
      <c r="BK266" s="213"/>
    </row>
    <row r="267" spans="1:63" collapsed="1">
      <c r="A267" s="9"/>
      <c r="B267" s="154"/>
      <c r="C267" s="26"/>
      <c r="D267" s="9"/>
      <c r="E267" s="9"/>
      <c r="F267" s="142"/>
      <c r="G267" s="195"/>
      <c r="H267" s="117"/>
      <c r="I267" s="117"/>
      <c r="J267" s="117"/>
      <c r="K267" s="117"/>
      <c r="L267" s="117"/>
      <c r="M267" s="9"/>
      <c r="N267" s="112"/>
      <c r="O267" s="153"/>
      <c r="P267" s="153"/>
      <c r="Q267" s="153"/>
      <c r="R267" s="101"/>
      <c r="S267" s="101"/>
      <c r="T267" s="101"/>
      <c r="U267" s="101"/>
      <c r="V267" s="101"/>
      <c r="W267" s="101"/>
      <c r="X267" s="101"/>
      <c r="Y267" s="101"/>
      <c r="Z267" s="101"/>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13"/>
      <c r="BK267" s="213"/>
    </row>
    <row r="268" spans="1:63">
      <c r="A268" s="9"/>
      <c r="B268" s="154" t="s">
        <v>63</v>
      </c>
      <c r="C268" s="26"/>
      <c r="D268" s="9"/>
      <c r="E268" s="9"/>
      <c r="F268" s="142"/>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1"/>
      <c r="S268" s="101"/>
      <c r="T268" s="101"/>
      <c r="U268" s="101"/>
      <c r="V268" s="101"/>
      <c r="W268" s="101"/>
      <c r="X268" s="101"/>
      <c r="Y268" s="101"/>
      <c r="Z268" s="101"/>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13"/>
      <c r="BK268" s="213"/>
    </row>
    <row r="269" spans="1:63" ht="12.75" hidden="1" customHeight="1" outlineLevel="1">
      <c r="A269" s="9"/>
      <c r="B269" s="46"/>
      <c r="C269" s="130" t="str">
        <f>Asset1</f>
        <v>Subtransmission</v>
      </c>
      <c r="D269" s="9"/>
      <c r="E269" s="9"/>
      <c r="F269" s="142"/>
      <c r="G269" s="195"/>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13"/>
      <c r="BK269" s="213"/>
    </row>
    <row r="270" spans="1:63" ht="12.75" hidden="1" customHeight="1" outlineLevel="1">
      <c r="A270" s="9"/>
      <c r="B270" s="46"/>
      <c r="C270" s="155" t="s">
        <v>29</v>
      </c>
      <c r="D270" s="9"/>
      <c r="E270" s="9"/>
      <c r="F270" s="142"/>
      <c r="G270" s="195"/>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13"/>
      <c r="BK270" s="213"/>
    </row>
    <row r="271" spans="1:63" ht="12.75" hidden="1" customHeight="1" outlineLevel="1">
      <c r="A271" s="9"/>
      <c r="B271" s="46"/>
      <c r="C271" s="130" t="str">
        <f>Asset2</f>
        <v>Distribution system assets</v>
      </c>
      <c r="D271" s="9"/>
      <c r="E271" s="9"/>
      <c r="F271" s="142"/>
      <c r="G271" s="195"/>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13"/>
      <c r="BK271" s="213"/>
    </row>
    <row r="272" spans="1:63" ht="12.75" hidden="1" customHeight="1" outlineLevel="1">
      <c r="A272" s="9"/>
      <c r="B272" s="46"/>
      <c r="C272" s="155" t="s">
        <v>29</v>
      </c>
      <c r="D272" s="9"/>
      <c r="E272" s="9"/>
      <c r="F272" s="142"/>
      <c r="G272" s="195"/>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13"/>
      <c r="BK272" s="213"/>
    </row>
    <row r="273" spans="1:63" ht="12.75" hidden="1" customHeight="1" outlineLevel="1">
      <c r="A273" s="9"/>
      <c r="B273" s="46"/>
      <c r="C273" s="130" t="str">
        <f>Asset3</f>
        <v>Standard metering</v>
      </c>
      <c r="D273" s="9"/>
      <c r="E273" s="9"/>
      <c r="F273" s="142"/>
      <c r="G273" s="195"/>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13"/>
      <c r="BK273" s="213"/>
    </row>
    <row r="274" spans="1:63" ht="12.75" hidden="1" customHeight="1" outlineLevel="1">
      <c r="A274" s="9"/>
      <c r="B274" s="46"/>
      <c r="C274" s="155" t="s">
        <v>29</v>
      </c>
      <c r="D274" s="9"/>
      <c r="E274" s="9"/>
      <c r="F274" s="142"/>
      <c r="G274" s="195"/>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13"/>
      <c r="BK274" s="213"/>
    </row>
    <row r="275" spans="1:63" ht="12.75" hidden="1" customHeight="1" outlineLevel="1">
      <c r="A275" s="9"/>
      <c r="B275" s="46"/>
      <c r="C275" s="130" t="str">
        <f>Asset4</f>
        <v>Public lighting</v>
      </c>
      <c r="D275" s="9"/>
      <c r="E275" s="9"/>
      <c r="F275" s="142"/>
      <c r="G275" s="195"/>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13"/>
      <c r="BK275" s="213"/>
    </row>
    <row r="276" spans="1:63" ht="12.75" hidden="1" customHeight="1" outlineLevel="1">
      <c r="A276" s="9"/>
      <c r="B276" s="46"/>
      <c r="C276" s="155" t="s">
        <v>29</v>
      </c>
      <c r="D276" s="9"/>
      <c r="E276" s="9"/>
      <c r="F276" s="142"/>
      <c r="G276" s="195"/>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13"/>
      <c r="BK276" s="213"/>
    </row>
    <row r="277" spans="1:63" ht="12.75" hidden="1" customHeight="1" outlineLevel="1">
      <c r="A277" s="9"/>
      <c r="B277" s="46"/>
      <c r="C277" s="130" t="str">
        <f>Asset5</f>
        <v>SCADA/Network control</v>
      </c>
      <c r="D277" s="9"/>
      <c r="E277" s="9"/>
      <c r="F277" s="142"/>
      <c r="G277" s="195"/>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13"/>
      <c r="BK277" s="213"/>
    </row>
    <row r="278" spans="1:63" ht="12.75" hidden="1" customHeight="1" outlineLevel="1">
      <c r="A278" s="9"/>
      <c r="B278" s="46"/>
      <c r="C278" s="155" t="s">
        <v>29</v>
      </c>
      <c r="D278" s="9"/>
      <c r="E278" s="9"/>
      <c r="F278" s="142"/>
      <c r="G278" s="195"/>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13"/>
      <c r="BK278" s="213"/>
    </row>
    <row r="279" spans="1:63" ht="12.75" hidden="1" customHeight="1" outlineLevel="1">
      <c r="A279" s="9"/>
      <c r="B279" s="46"/>
      <c r="C279" s="130" t="str">
        <f>Asset6</f>
        <v>Non-network general assets - IT</v>
      </c>
      <c r="D279" s="9"/>
      <c r="E279" s="9"/>
      <c r="F279" s="142"/>
      <c r="G279" s="195"/>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13"/>
      <c r="BK279" s="213"/>
    </row>
    <row r="280" spans="1:63" ht="12.75" hidden="1" customHeight="1" outlineLevel="1">
      <c r="A280" s="9"/>
      <c r="B280" s="46"/>
      <c r="C280" s="155" t="s">
        <v>29</v>
      </c>
      <c r="D280" s="9"/>
      <c r="E280" s="9"/>
      <c r="F280" s="142"/>
      <c r="G280" s="195"/>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13"/>
      <c r="BK280" s="213"/>
    </row>
    <row r="281" spans="1:63" ht="12.75" hidden="1" customHeight="1" outlineLevel="1">
      <c r="A281" s="9"/>
      <c r="B281" s="46"/>
      <c r="C281" s="130" t="str">
        <f>Asset7</f>
        <v>Non-network general assets - Other</v>
      </c>
      <c r="D281" s="9"/>
      <c r="E281" s="9"/>
      <c r="F281" s="142"/>
      <c r="G281" s="195"/>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13"/>
      <c r="BK281" s="213"/>
    </row>
    <row r="282" spans="1:63" ht="12.75" hidden="1" customHeight="1" outlineLevel="1">
      <c r="A282" s="9"/>
      <c r="B282" s="46"/>
      <c r="C282" s="155" t="s">
        <v>29</v>
      </c>
      <c r="D282" s="9"/>
      <c r="E282" s="9"/>
      <c r="F282" s="142"/>
      <c r="G282" s="195"/>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13"/>
      <c r="BK282" s="213"/>
    </row>
    <row r="283" spans="1:63" ht="12.75" hidden="1" customHeight="1" outlineLevel="1">
      <c r="A283" s="9"/>
      <c r="B283" s="46"/>
      <c r="C283" s="130" t="str">
        <f>Asset8</f>
        <v>VBRC</v>
      </c>
      <c r="D283" s="9"/>
      <c r="E283" s="9"/>
      <c r="F283" s="142"/>
      <c r="G283" s="195"/>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13"/>
      <c r="BK283" s="213"/>
    </row>
    <row r="284" spans="1:63" ht="12.75" hidden="1" customHeight="1" outlineLevel="1">
      <c r="A284" s="9"/>
      <c r="B284" s="46"/>
      <c r="C284" s="155" t="s">
        <v>29</v>
      </c>
      <c r="D284" s="9"/>
      <c r="E284" s="9"/>
      <c r="F284" s="142"/>
      <c r="G284" s="195"/>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13"/>
      <c r="BK284" s="213"/>
    </row>
    <row r="285" spans="1:63" ht="12.75" hidden="1" customHeight="1" outlineLevel="1">
      <c r="A285" s="9"/>
      <c r="B285" s="46"/>
      <c r="C285" s="130" t="str">
        <f>Asset9</f>
        <v>Equity raising</v>
      </c>
      <c r="D285" s="9"/>
      <c r="E285" s="9"/>
      <c r="F285" s="142"/>
      <c r="G285" s="195"/>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13"/>
      <c r="BK285" s="213"/>
    </row>
    <row r="286" spans="1:63" ht="12.75" hidden="1" customHeight="1" outlineLevel="1">
      <c r="A286" s="9"/>
      <c r="B286" s="46"/>
      <c r="C286" s="155" t="s">
        <v>29</v>
      </c>
      <c r="D286" s="9"/>
      <c r="E286" s="9"/>
      <c r="F286" s="142"/>
      <c r="G286" s="195"/>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13"/>
      <c r="BK286" s="213"/>
    </row>
    <row r="287" spans="1:63" ht="12.75" hidden="1" customHeight="1" outlineLevel="1">
      <c r="A287" s="9"/>
      <c r="B287" s="46"/>
      <c r="C287" s="130">
        <f>Asset10</f>
        <v>0</v>
      </c>
      <c r="D287" s="9"/>
      <c r="E287" s="9"/>
      <c r="F287" s="142"/>
      <c r="G287" s="195"/>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13"/>
      <c r="BK287" s="213"/>
    </row>
    <row r="288" spans="1:63" ht="12.75" hidden="1" customHeight="1" outlineLevel="1">
      <c r="A288" s="9"/>
      <c r="B288" s="46"/>
      <c r="C288" s="155" t="s">
        <v>29</v>
      </c>
      <c r="D288" s="9"/>
      <c r="E288" s="9"/>
      <c r="F288" s="142"/>
      <c r="G288" s="195"/>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13"/>
      <c r="BK288" s="213"/>
    </row>
    <row r="289" spans="1:63" ht="12.75" hidden="1" customHeight="1" outlineLevel="1">
      <c r="A289" s="9"/>
      <c r="B289" s="46"/>
      <c r="C289" s="130">
        <f>Asset11</f>
        <v>0</v>
      </c>
      <c r="D289" s="9"/>
      <c r="E289" s="9"/>
      <c r="F289" s="142"/>
      <c r="G289" s="195"/>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13"/>
      <c r="BK289" s="213"/>
    </row>
    <row r="290" spans="1:63" ht="12.75" hidden="1" customHeight="1" outlineLevel="1">
      <c r="A290" s="9"/>
      <c r="B290" s="46"/>
      <c r="C290" s="155" t="s">
        <v>29</v>
      </c>
      <c r="D290" s="9"/>
      <c r="E290" s="9"/>
      <c r="F290" s="142"/>
      <c r="G290" s="195"/>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13"/>
      <c r="BK290" s="213"/>
    </row>
    <row r="291" spans="1:63" ht="12.75" hidden="1" customHeight="1" outlineLevel="1">
      <c r="A291" s="9"/>
      <c r="B291" s="46"/>
      <c r="C291" s="130">
        <f>Asset12</f>
        <v>0</v>
      </c>
      <c r="D291" s="9"/>
      <c r="E291" s="9"/>
      <c r="F291" s="142"/>
      <c r="G291" s="195"/>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13"/>
      <c r="BK291" s="213"/>
    </row>
    <row r="292" spans="1:63" ht="12.75" hidden="1" customHeight="1" outlineLevel="1">
      <c r="A292" s="9"/>
      <c r="B292" s="46"/>
      <c r="C292" s="155" t="s">
        <v>29</v>
      </c>
      <c r="D292" s="9"/>
      <c r="E292" s="9"/>
      <c r="F292" s="142"/>
      <c r="G292" s="195"/>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13"/>
      <c r="BK292" s="213"/>
    </row>
    <row r="293" spans="1:63" ht="12.75" hidden="1" customHeight="1" outlineLevel="1">
      <c r="A293" s="9"/>
      <c r="B293" s="46"/>
      <c r="C293" s="130">
        <f>Asset13</f>
        <v>0</v>
      </c>
      <c r="D293" s="9"/>
      <c r="E293" s="9"/>
      <c r="F293" s="142"/>
      <c r="G293" s="195"/>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13"/>
      <c r="BK293" s="213"/>
    </row>
    <row r="294" spans="1:63" ht="12.75" hidden="1" customHeight="1" outlineLevel="1">
      <c r="A294" s="9"/>
      <c r="B294" s="46"/>
      <c r="C294" s="155" t="s">
        <v>29</v>
      </c>
      <c r="D294" s="9"/>
      <c r="E294" s="9"/>
      <c r="F294" s="142"/>
      <c r="G294" s="195"/>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13"/>
      <c r="BK294" s="213"/>
    </row>
    <row r="295" spans="1:63" ht="12.75" hidden="1" customHeight="1" outlineLevel="1">
      <c r="A295" s="9"/>
      <c r="B295" s="46"/>
      <c r="C295" s="130">
        <f>Asset14</f>
        <v>0</v>
      </c>
      <c r="D295" s="9"/>
      <c r="E295" s="9"/>
      <c r="F295" s="142"/>
      <c r="G295" s="195"/>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13"/>
      <c r="BK295" s="213"/>
    </row>
    <row r="296" spans="1:63" ht="12.75" hidden="1" customHeight="1" outlineLevel="1">
      <c r="A296" s="9"/>
      <c r="B296" s="46"/>
      <c r="C296" s="155" t="s">
        <v>29</v>
      </c>
      <c r="D296" s="9"/>
      <c r="E296" s="9"/>
      <c r="F296" s="142"/>
      <c r="G296" s="195"/>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13"/>
      <c r="BK296" s="213"/>
    </row>
    <row r="297" spans="1:63" ht="12.75" hidden="1" customHeight="1" outlineLevel="1">
      <c r="A297" s="9"/>
      <c r="B297" s="46"/>
      <c r="C297" s="130">
        <f>Asset15</f>
        <v>0</v>
      </c>
      <c r="D297" s="9"/>
      <c r="E297" s="9"/>
      <c r="F297" s="142"/>
      <c r="G297" s="195"/>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13"/>
      <c r="BK297" s="213"/>
    </row>
    <row r="298" spans="1:63" ht="12.75" hidden="1" customHeight="1" outlineLevel="1">
      <c r="A298" s="9"/>
      <c r="B298" s="46"/>
      <c r="C298" s="155" t="s">
        <v>29</v>
      </c>
      <c r="D298" s="9"/>
      <c r="E298" s="9"/>
      <c r="F298" s="142"/>
      <c r="G298" s="195"/>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13"/>
      <c r="BK298" s="213"/>
    </row>
    <row r="299" spans="1:63" ht="12.75" hidden="1" customHeight="1" outlineLevel="1">
      <c r="A299" s="9"/>
      <c r="B299" s="46"/>
      <c r="C299" s="130">
        <f>Asset16</f>
        <v>0</v>
      </c>
      <c r="D299" s="9"/>
      <c r="E299" s="9"/>
      <c r="F299" s="142"/>
      <c r="G299" s="195"/>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13"/>
      <c r="BK299" s="213"/>
    </row>
    <row r="300" spans="1:63" ht="12.75" hidden="1" customHeight="1" outlineLevel="1">
      <c r="A300" s="9"/>
      <c r="B300" s="46"/>
      <c r="C300" s="155" t="s">
        <v>29</v>
      </c>
      <c r="D300" s="9"/>
      <c r="E300" s="9"/>
      <c r="F300" s="142"/>
      <c r="G300" s="195"/>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13"/>
      <c r="BK300" s="213"/>
    </row>
    <row r="301" spans="1:63" ht="12.75" hidden="1" customHeight="1" outlineLevel="1">
      <c r="A301" s="9"/>
      <c r="B301" s="46"/>
      <c r="C301" s="130">
        <f>Asset17</f>
        <v>0</v>
      </c>
      <c r="D301" s="9"/>
      <c r="E301" s="9"/>
      <c r="F301" s="142"/>
      <c r="G301" s="195"/>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13"/>
      <c r="BK301" s="213"/>
    </row>
    <row r="302" spans="1:63" ht="12.75" hidden="1" customHeight="1" outlineLevel="1">
      <c r="A302" s="9"/>
      <c r="B302" s="46"/>
      <c r="C302" s="155" t="s">
        <v>29</v>
      </c>
      <c r="D302" s="9"/>
      <c r="E302" s="9"/>
      <c r="F302" s="142"/>
      <c r="G302" s="195"/>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13"/>
      <c r="BK302" s="213"/>
    </row>
    <row r="303" spans="1:63" ht="12.75" hidden="1" customHeight="1" outlineLevel="1">
      <c r="A303" s="9"/>
      <c r="B303" s="46"/>
      <c r="C303" s="130">
        <f>Asset18</f>
        <v>0</v>
      </c>
      <c r="D303" s="9"/>
      <c r="E303" s="9"/>
      <c r="F303" s="142"/>
      <c r="G303" s="195"/>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13"/>
      <c r="BK303" s="213"/>
    </row>
    <row r="304" spans="1:63" ht="12.75" hidden="1" customHeight="1" outlineLevel="1">
      <c r="A304" s="9"/>
      <c r="B304" s="46"/>
      <c r="C304" s="155" t="s">
        <v>29</v>
      </c>
      <c r="D304" s="9"/>
      <c r="E304" s="9"/>
      <c r="F304" s="142"/>
      <c r="G304" s="195"/>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13"/>
      <c r="BK304" s="213"/>
    </row>
    <row r="305" spans="1:63" ht="12.75" hidden="1" customHeight="1" outlineLevel="1">
      <c r="A305" s="9"/>
      <c r="B305" s="46"/>
      <c r="C305" s="130">
        <f>Asset19</f>
        <v>0</v>
      </c>
      <c r="D305" s="9"/>
      <c r="E305" s="9"/>
      <c r="F305" s="142"/>
      <c r="G305" s="195"/>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13"/>
      <c r="BK305" s="213"/>
    </row>
    <row r="306" spans="1:63" ht="12.75" hidden="1" customHeight="1" outlineLevel="1">
      <c r="A306" s="9"/>
      <c r="B306" s="46"/>
      <c r="C306" s="155" t="s">
        <v>29</v>
      </c>
      <c r="D306" s="9"/>
      <c r="E306" s="9"/>
      <c r="F306" s="142"/>
      <c r="G306" s="195"/>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13"/>
      <c r="BK306" s="213"/>
    </row>
    <row r="307" spans="1:63" ht="12.75" hidden="1" customHeight="1" outlineLevel="1">
      <c r="A307" s="9"/>
      <c r="B307" s="46"/>
      <c r="C307" s="130">
        <f>Asset20</f>
        <v>0</v>
      </c>
      <c r="D307" s="9"/>
      <c r="E307" s="9"/>
      <c r="F307" s="142"/>
      <c r="G307" s="195"/>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13"/>
      <c r="BK307" s="213"/>
    </row>
    <row r="308" spans="1:63" ht="12.75" hidden="1" customHeight="1" outlineLevel="1">
      <c r="A308" s="9"/>
      <c r="B308" s="46"/>
      <c r="C308" s="155" t="s">
        <v>29</v>
      </c>
      <c r="D308" s="9"/>
      <c r="E308" s="9"/>
      <c r="F308" s="142"/>
      <c r="G308" s="195"/>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13"/>
      <c r="BK308" s="213"/>
    </row>
    <row r="309" spans="1:63" ht="12.75" hidden="1" customHeight="1" outlineLevel="1">
      <c r="A309" s="9"/>
      <c r="B309" s="46"/>
      <c r="C309" s="130">
        <f>Asset21</f>
        <v>0</v>
      </c>
      <c r="D309" s="9"/>
      <c r="E309" s="9"/>
      <c r="F309" s="142"/>
      <c r="G309" s="193"/>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13"/>
      <c r="BK309" s="213"/>
    </row>
    <row r="310" spans="1:63" ht="12.75" hidden="1" customHeight="1" outlineLevel="1">
      <c r="A310" s="9"/>
      <c r="B310" s="46"/>
      <c r="C310" s="155" t="s">
        <v>29</v>
      </c>
      <c r="D310" s="9"/>
      <c r="E310" s="9"/>
      <c r="F310" s="142"/>
      <c r="G310" s="193"/>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13"/>
      <c r="BK310" s="213"/>
    </row>
    <row r="311" spans="1:63" ht="12.75" hidden="1" customHeight="1" outlineLevel="1">
      <c r="A311" s="9"/>
      <c r="B311" s="46"/>
      <c r="C311" s="130">
        <f>Asset22</f>
        <v>0</v>
      </c>
      <c r="D311" s="9"/>
      <c r="E311" s="9"/>
      <c r="F311" s="142"/>
      <c r="G311" s="193"/>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13"/>
      <c r="BK311" s="213"/>
    </row>
    <row r="312" spans="1:63" ht="12.75" hidden="1" customHeight="1" outlineLevel="1">
      <c r="A312" s="9"/>
      <c r="B312" s="46"/>
      <c r="C312" s="155" t="s">
        <v>29</v>
      </c>
      <c r="D312" s="9"/>
      <c r="E312" s="9"/>
      <c r="F312" s="142"/>
      <c r="G312" s="193"/>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13"/>
      <c r="BK312" s="213"/>
    </row>
    <row r="313" spans="1:63" ht="12.75" hidden="1" customHeight="1" outlineLevel="1">
      <c r="A313" s="9"/>
      <c r="B313" s="46"/>
      <c r="C313" s="130">
        <f>Asset23</f>
        <v>0</v>
      </c>
      <c r="D313" s="9"/>
      <c r="E313" s="9"/>
      <c r="F313" s="142"/>
      <c r="G313" s="193"/>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13"/>
      <c r="BK313" s="213"/>
    </row>
    <row r="314" spans="1:63" ht="12.75" hidden="1" customHeight="1" outlineLevel="1">
      <c r="A314" s="9"/>
      <c r="B314" s="46"/>
      <c r="C314" s="155" t="s">
        <v>29</v>
      </c>
      <c r="D314" s="9"/>
      <c r="E314" s="9"/>
      <c r="F314" s="142"/>
      <c r="G314" s="193"/>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13"/>
      <c r="BK314" s="213"/>
    </row>
    <row r="315" spans="1:63" ht="12.75" hidden="1" customHeight="1" outlineLevel="1">
      <c r="A315" s="9"/>
      <c r="B315" s="46"/>
      <c r="C315" s="130">
        <f>Asset24</f>
        <v>0</v>
      </c>
      <c r="D315" s="9"/>
      <c r="E315" s="9"/>
      <c r="F315" s="142"/>
      <c r="G315" s="193"/>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13"/>
      <c r="BK315" s="213"/>
    </row>
    <row r="316" spans="1:63" ht="12.75" hidden="1" customHeight="1" outlineLevel="1">
      <c r="A316" s="9"/>
      <c r="B316" s="46"/>
      <c r="C316" s="155" t="s">
        <v>29</v>
      </c>
      <c r="D316" s="9"/>
      <c r="E316" s="9"/>
      <c r="F316" s="142"/>
      <c r="G316" s="193"/>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13"/>
      <c r="BK316" s="213"/>
    </row>
    <row r="317" spans="1:63" ht="12.75" hidden="1" customHeight="1" outlineLevel="1">
      <c r="A317" s="9"/>
      <c r="B317" s="46"/>
      <c r="C317" s="130">
        <f>Asset25</f>
        <v>0</v>
      </c>
      <c r="D317" s="9"/>
      <c r="E317" s="9"/>
      <c r="F317" s="142"/>
      <c r="G317" s="193"/>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13"/>
      <c r="BK317" s="213"/>
    </row>
    <row r="318" spans="1:63" ht="12.75" hidden="1" customHeight="1" outlineLevel="1">
      <c r="A318" s="9"/>
      <c r="B318" s="46"/>
      <c r="C318" s="155" t="s">
        <v>29</v>
      </c>
      <c r="D318" s="9"/>
      <c r="E318" s="9"/>
      <c r="F318" s="142"/>
      <c r="G318" s="193"/>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13"/>
      <c r="BK318" s="213"/>
    </row>
    <row r="319" spans="1:63" ht="12.75" hidden="1" customHeight="1" outlineLevel="1">
      <c r="A319" s="9"/>
      <c r="B319" s="46"/>
      <c r="C319" s="130">
        <f>Asset26</f>
        <v>0</v>
      </c>
      <c r="D319" s="9"/>
      <c r="E319" s="9"/>
      <c r="F319" s="142"/>
      <c r="G319" s="193"/>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13"/>
      <c r="BK319" s="213"/>
    </row>
    <row r="320" spans="1:63" ht="12.75" hidden="1" customHeight="1" outlineLevel="1">
      <c r="A320" s="9"/>
      <c r="B320" s="46"/>
      <c r="C320" s="155" t="s">
        <v>29</v>
      </c>
      <c r="D320" s="9"/>
      <c r="E320" s="9"/>
      <c r="F320" s="142"/>
      <c r="G320" s="193"/>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13"/>
      <c r="BK320" s="213"/>
    </row>
    <row r="321" spans="1:63" ht="12.75" hidden="1" customHeight="1" outlineLevel="1">
      <c r="A321" s="9"/>
      <c r="B321" s="46"/>
      <c r="C321" s="130">
        <f>Asset27</f>
        <v>0</v>
      </c>
      <c r="D321" s="9"/>
      <c r="E321" s="9"/>
      <c r="F321" s="142"/>
      <c r="G321" s="193"/>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13"/>
      <c r="BK321" s="213"/>
    </row>
    <row r="322" spans="1:63" ht="12.75" hidden="1" customHeight="1" outlineLevel="1">
      <c r="A322" s="9"/>
      <c r="B322" s="46"/>
      <c r="C322" s="155" t="s">
        <v>29</v>
      </c>
      <c r="D322" s="9"/>
      <c r="E322" s="9"/>
      <c r="F322" s="142"/>
      <c r="G322" s="193"/>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13"/>
      <c r="BK322" s="213"/>
    </row>
    <row r="323" spans="1:63" ht="12.75" hidden="1" customHeight="1" outlineLevel="1">
      <c r="A323" s="9"/>
      <c r="B323" s="46"/>
      <c r="C323" s="130">
        <f>Asset28</f>
        <v>0</v>
      </c>
      <c r="D323" s="9"/>
      <c r="E323" s="9"/>
      <c r="F323" s="142"/>
      <c r="G323" s="193"/>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13"/>
      <c r="BK323" s="213"/>
    </row>
    <row r="324" spans="1:63" ht="12.75" hidden="1" customHeight="1" outlineLevel="1">
      <c r="A324" s="9"/>
      <c r="B324" s="46"/>
      <c r="C324" s="155" t="s">
        <v>29</v>
      </c>
      <c r="D324" s="9"/>
      <c r="E324" s="9"/>
      <c r="F324" s="142"/>
      <c r="G324" s="193"/>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13"/>
      <c r="BK324" s="213"/>
    </row>
    <row r="325" spans="1:63" ht="12.75" hidden="1" customHeight="1" outlineLevel="1">
      <c r="A325" s="9"/>
      <c r="B325" s="46"/>
      <c r="C325" s="130">
        <f>Asset29</f>
        <v>0</v>
      </c>
      <c r="D325" s="9"/>
      <c r="E325" s="9"/>
      <c r="F325" s="142"/>
      <c r="G325" s="193"/>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13"/>
      <c r="BK325" s="213"/>
    </row>
    <row r="326" spans="1:63" ht="12.75" hidden="1" customHeight="1" outlineLevel="1">
      <c r="A326" s="9"/>
      <c r="B326" s="46"/>
      <c r="C326" s="155" t="s">
        <v>29</v>
      </c>
      <c r="D326" s="9"/>
      <c r="E326" s="9"/>
      <c r="F326" s="142"/>
      <c r="G326" s="193"/>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13"/>
      <c r="BK326" s="213"/>
    </row>
    <row r="327" spans="1:63" ht="12.75" hidden="1" customHeight="1" outlineLevel="1">
      <c r="A327" s="9"/>
      <c r="B327" s="46"/>
      <c r="C327" s="130">
        <f>Asset30</f>
        <v>0</v>
      </c>
      <c r="D327" s="9"/>
      <c r="E327" s="9"/>
      <c r="F327" s="142"/>
      <c r="G327" s="193"/>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13"/>
      <c r="BK327" s="213"/>
    </row>
    <row r="328" spans="1:63" ht="12.75" hidden="1" customHeight="1" outlineLevel="1">
      <c r="A328" s="9"/>
      <c r="B328" s="46"/>
      <c r="C328" s="155" t="s">
        <v>29</v>
      </c>
      <c r="D328" s="9"/>
      <c r="E328" s="9"/>
      <c r="F328" s="142"/>
      <c r="G328" s="193"/>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13"/>
      <c r="BK328" s="213"/>
    </row>
    <row r="329" spans="1:63" collapsed="1">
      <c r="A329" s="9"/>
      <c r="B329" s="186" t="s">
        <v>44</v>
      </c>
      <c r="D329" s="9"/>
      <c r="E329" s="9"/>
      <c r="F329" s="142"/>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1"/>
      <c r="S329" s="101"/>
      <c r="T329" s="101"/>
      <c r="U329" s="101"/>
      <c r="V329" s="101"/>
      <c r="W329" s="101"/>
      <c r="X329" s="101"/>
      <c r="Y329" s="101"/>
      <c r="Z329" s="101"/>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13"/>
      <c r="BK329" s="213"/>
    </row>
    <row r="330" spans="1:63">
      <c r="A330" s="9"/>
      <c r="B330" s="154"/>
      <c r="C330" s="26"/>
      <c r="D330" s="9"/>
      <c r="E330" s="9"/>
      <c r="F330" s="142"/>
      <c r="G330" s="117"/>
      <c r="H330" s="117"/>
      <c r="I330" s="117"/>
      <c r="J330" s="117"/>
      <c r="K330" s="117"/>
      <c r="L330" s="117"/>
      <c r="M330" s="9"/>
      <c r="N330" s="112"/>
      <c r="O330" s="153"/>
      <c r="P330" s="153"/>
      <c r="Q330" s="153"/>
      <c r="R330" s="101"/>
      <c r="S330" s="101"/>
      <c r="T330" s="101"/>
      <c r="U330" s="101"/>
      <c r="V330" s="101"/>
      <c r="W330" s="101"/>
      <c r="X330" s="101"/>
      <c r="Y330" s="101"/>
      <c r="Z330" s="101"/>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13"/>
      <c r="BK330" s="213"/>
    </row>
    <row r="331" spans="1:63">
      <c r="A331" s="81"/>
      <c r="B331" s="81" t="s">
        <v>82</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13"/>
      <c r="BK331" s="213"/>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13"/>
      <c r="BK332" s="213"/>
    </row>
    <row r="333" spans="1:63">
      <c r="A333" s="9"/>
      <c r="B333" s="46" t="s">
        <v>46</v>
      </c>
      <c r="C333" s="9"/>
      <c r="D333" s="9"/>
      <c r="E333" s="9"/>
      <c r="F333" s="9"/>
      <c r="G333" s="192">
        <f>SUM(G334:G363)</f>
        <v>1218.1528952972562</v>
      </c>
      <c r="H333" s="141">
        <f>SUM(H334:H363)</f>
        <v>1287.2501906639984</v>
      </c>
      <c r="I333" s="112"/>
      <c r="J333" s="112"/>
      <c r="K333" s="112"/>
      <c r="L333" s="112"/>
      <c r="M333" s="112"/>
      <c r="N333" s="112"/>
      <c r="O333" s="107"/>
      <c r="P333" s="107"/>
      <c r="Q333" s="107"/>
      <c r="R333" s="107"/>
      <c r="S333" s="101"/>
      <c r="T333" s="107"/>
      <c r="U333" s="107"/>
      <c r="V333" s="107"/>
      <c r="W333" s="107"/>
      <c r="X333" s="107"/>
      <c r="Y333" s="107"/>
      <c r="Z333" s="107"/>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13"/>
      <c r="BK333" s="213"/>
    </row>
    <row r="334" spans="1:63" ht="12.75" hidden="1" customHeight="1" outlineLevel="1">
      <c r="A334" s="9"/>
      <c r="B334" s="9"/>
      <c r="C334" s="130" t="str">
        <f>Asset1</f>
        <v>Subtransmission</v>
      </c>
      <c r="D334" s="9"/>
      <c r="E334" s="9"/>
      <c r="F334" s="9"/>
      <c r="G334" s="193">
        <f>Input!J7</f>
        <v>139.12392628058146</v>
      </c>
      <c r="H334" s="112">
        <f t="shared" ref="H334:H363" si="5">G334+G366+G398+G430+G462+G494</f>
        <v>151.75163070203752</v>
      </c>
      <c r="I334" s="112"/>
      <c r="J334" s="112"/>
      <c r="K334" s="112"/>
      <c r="L334" s="112"/>
      <c r="M334" s="112"/>
      <c r="N334" s="112"/>
      <c r="O334" s="107"/>
      <c r="P334" s="107"/>
      <c r="Q334" s="107"/>
      <c r="R334" s="107"/>
      <c r="S334" s="101"/>
      <c r="T334" s="107"/>
      <c r="U334" s="107"/>
      <c r="V334" s="107"/>
      <c r="W334" s="107"/>
      <c r="X334" s="107"/>
      <c r="Y334" s="107"/>
      <c r="Z334" s="107"/>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13"/>
      <c r="BK334" s="213"/>
    </row>
    <row r="335" spans="1:63" ht="12.75" hidden="1" customHeight="1" outlineLevel="1">
      <c r="A335" s="9"/>
      <c r="B335" s="46"/>
      <c r="C335" s="130" t="str">
        <f>Asset2</f>
        <v>Distribution system assets</v>
      </c>
      <c r="D335" s="9"/>
      <c r="E335" s="9"/>
      <c r="F335" s="142"/>
      <c r="G335" s="193">
        <f>Input!J8</f>
        <v>998.98563357996591</v>
      </c>
      <c r="H335" s="112">
        <f t="shared" si="5"/>
        <v>1063.1849024792018</v>
      </c>
      <c r="I335" s="112"/>
      <c r="J335" s="112"/>
      <c r="K335" s="112"/>
      <c r="L335" s="112"/>
      <c r="M335" s="112"/>
      <c r="N335" s="112"/>
      <c r="O335" s="107"/>
      <c r="P335" s="107"/>
      <c r="Q335" s="107"/>
      <c r="R335" s="107"/>
      <c r="S335" s="101"/>
      <c r="T335" s="107"/>
      <c r="U335" s="107"/>
      <c r="V335" s="107"/>
      <c r="W335" s="107"/>
      <c r="X335" s="107"/>
      <c r="Y335" s="107"/>
      <c r="Z335" s="107"/>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13"/>
      <c r="BK335" s="213"/>
    </row>
    <row r="336" spans="1:63" ht="12.75" hidden="1" customHeight="1" outlineLevel="1">
      <c r="A336" s="9"/>
      <c r="B336" s="46"/>
      <c r="C336" s="130" t="str">
        <f>Asset3</f>
        <v>Standard metering</v>
      </c>
      <c r="D336" s="9"/>
      <c r="E336" s="9"/>
      <c r="F336" s="142"/>
      <c r="G336" s="193">
        <f>Input!J9</f>
        <v>37.645963317471988</v>
      </c>
      <c r="H336" s="112">
        <f t="shared" si="5"/>
        <v>34.490079086087626</v>
      </c>
      <c r="I336" s="112"/>
      <c r="J336" s="112"/>
      <c r="K336" s="112"/>
      <c r="L336" s="112"/>
      <c r="M336" s="112"/>
      <c r="N336" s="112"/>
      <c r="O336" s="107"/>
      <c r="P336" s="107"/>
      <c r="Q336" s="107"/>
      <c r="R336" s="107"/>
      <c r="S336" s="101"/>
      <c r="T336" s="107"/>
      <c r="U336" s="107"/>
      <c r="V336" s="107"/>
      <c r="W336" s="107"/>
      <c r="X336" s="107"/>
      <c r="Y336" s="107"/>
      <c r="Z336" s="107"/>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13"/>
      <c r="BK336" s="213"/>
    </row>
    <row r="337" spans="1:63" ht="12.75" hidden="1" customHeight="1" outlineLevel="1">
      <c r="A337" s="9"/>
      <c r="B337" s="46"/>
      <c r="C337" s="130" t="str">
        <f>Asset4</f>
        <v>Public lighting</v>
      </c>
      <c r="D337" s="9"/>
      <c r="E337" s="9"/>
      <c r="F337" s="142"/>
      <c r="G337" s="193">
        <f>Input!J10</f>
        <v>10.597982772220602</v>
      </c>
      <c r="H337" s="112">
        <f t="shared" si="5"/>
        <v>10.143760311615715</v>
      </c>
      <c r="I337" s="112"/>
      <c r="J337" s="112"/>
      <c r="K337" s="112"/>
      <c r="L337" s="112"/>
      <c r="M337" s="112"/>
      <c r="N337" s="112"/>
      <c r="O337" s="107"/>
      <c r="P337" s="107"/>
      <c r="Q337" s="107"/>
      <c r="R337" s="107"/>
      <c r="S337" s="101"/>
      <c r="T337" s="107"/>
      <c r="U337" s="107"/>
      <c r="V337" s="107"/>
      <c r="W337" s="107"/>
      <c r="X337" s="107"/>
      <c r="Y337" s="107"/>
      <c r="Z337" s="107"/>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13"/>
      <c r="BK337" s="213"/>
    </row>
    <row r="338" spans="1:63" ht="12.75" hidden="1" customHeight="1" outlineLevel="1">
      <c r="A338" s="9"/>
      <c r="B338" s="46"/>
      <c r="C338" s="130" t="str">
        <f>Asset5</f>
        <v>SCADA/Network control</v>
      </c>
      <c r="D338" s="9"/>
      <c r="E338" s="9"/>
      <c r="F338" s="142"/>
      <c r="G338" s="193">
        <f>Input!J11</f>
        <v>15.143111066512242</v>
      </c>
      <c r="H338" s="112">
        <f t="shared" si="5"/>
        <v>15.630895940945866</v>
      </c>
      <c r="I338" s="112"/>
      <c r="J338" s="112"/>
      <c r="K338" s="112"/>
      <c r="L338" s="112"/>
      <c r="M338" s="112"/>
      <c r="N338" s="112"/>
      <c r="O338" s="107"/>
      <c r="P338" s="107"/>
      <c r="Q338" s="107"/>
      <c r="R338" s="107"/>
      <c r="S338" s="101"/>
      <c r="T338" s="107"/>
      <c r="U338" s="107"/>
      <c r="V338" s="107"/>
      <c r="W338" s="107"/>
      <c r="X338" s="107"/>
      <c r="Y338" s="107"/>
      <c r="Z338" s="107"/>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13"/>
      <c r="BK338" s="213"/>
    </row>
    <row r="339" spans="1:63" ht="12.75" hidden="1" customHeight="1" outlineLevel="1">
      <c r="A339" s="9"/>
      <c r="B339" s="46"/>
      <c r="C339" s="130" t="str">
        <f>Asset6</f>
        <v>Non-network general assets - IT</v>
      </c>
      <c r="D339" s="9"/>
      <c r="E339" s="9"/>
      <c r="F339" s="142"/>
      <c r="G339" s="193">
        <f>Input!J12</f>
        <v>5.5938828180837197</v>
      </c>
      <c r="H339" s="112">
        <f>G339+G371+G403+G435+G467+G499</f>
        <v>7.4416607105815658E-2</v>
      </c>
      <c r="I339" s="112"/>
      <c r="J339" s="112"/>
      <c r="K339" s="112"/>
      <c r="L339" s="112"/>
      <c r="M339" s="112"/>
      <c r="N339" s="112"/>
      <c r="O339" s="107"/>
      <c r="P339" s="107"/>
      <c r="Q339" s="107"/>
      <c r="R339" s="107"/>
      <c r="S339" s="101"/>
      <c r="T339" s="107"/>
      <c r="U339" s="107"/>
      <c r="V339" s="107"/>
      <c r="W339" s="107"/>
      <c r="X339" s="107"/>
      <c r="Y339" s="107"/>
      <c r="Z339" s="107"/>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13"/>
      <c r="BK339" s="213"/>
    </row>
    <row r="340" spans="1:63" ht="12.75" hidden="1" customHeight="1" outlineLevel="1">
      <c r="A340" s="9"/>
      <c r="B340" s="46"/>
      <c r="C340" s="130" t="str">
        <f>Asset7</f>
        <v>Non-network general assets - Other</v>
      </c>
      <c r="D340" s="9"/>
      <c r="E340" s="9"/>
      <c r="F340" s="142"/>
      <c r="G340" s="193">
        <f>Input!J13</f>
        <v>11.062395462420282</v>
      </c>
      <c r="H340" s="112">
        <f t="shared" si="5"/>
        <v>11.97450553700369</v>
      </c>
      <c r="I340" s="112"/>
      <c r="J340" s="112"/>
      <c r="K340" s="112"/>
      <c r="L340" s="112"/>
      <c r="M340" s="112"/>
      <c r="N340" s="112"/>
      <c r="O340" s="107"/>
      <c r="P340" s="107"/>
      <c r="Q340" s="107"/>
      <c r="R340" s="107"/>
      <c r="S340" s="101"/>
      <c r="T340" s="107"/>
      <c r="U340" s="107"/>
      <c r="V340" s="107"/>
      <c r="W340" s="107"/>
      <c r="X340" s="107"/>
      <c r="Y340" s="107"/>
      <c r="Z340" s="107"/>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13"/>
      <c r="BK340" s="213"/>
    </row>
    <row r="341" spans="1:63" ht="12.75" hidden="1" customHeight="1" outlineLevel="1">
      <c r="A341" s="9"/>
      <c r="B341" s="46"/>
      <c r="C341" s="130" t="str">
        <f>Asset8</f>
        <v>VBRC</v>
      </c>
      <c r="D341" s="9"/>
      <c r="E341" s="9"/>
      <c r="F341" s="142"/>
      <c r="G341" s="193">
        <f>Input!J14</f>
        <v>0</v>
      </c>
      <c r="H341" s="112">
        <f t="shared" si="5"/>
        <v>0</v>
      </c>
      <c r="I341" s="112"/>
      <c r="J341" s="112"/>
      <c r="K341" s="112"/>
      <c r="L341" s="112"/>
      <c r="M341" s="112"/>
      <c r="N341" s="112"/>
      <c r="O341" s="107"/>
      <c r="P341" s="107"/>
      <c r="Q341" s="107"/>
      <c r="R341" s="107"/>
      <c r="S341" s="101"/>
      <c r="T341" s="107"/>
      <c r="U341" s="107"/>
      <c r="V341" s="107"/>
      <c r="W341" s="107"/>
      <c r="X341" s="107"/>
      <c r="Y341" s="107"/>
      <c r="Z341" s="107"/>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13"/>
      <c r="BK341" s="213"/>
    </row>
    <row r="342" spans="1:63" ht="12.75" hidden="1" customHeight="1" outlineLevel="1">
      <c r="A342" s="9"/>
      <c r="B342" s="46"/>
      <c r="C342" s="130" t="str">
        <f>Asset9</f>
        <v>Equity raising</v>
      </c>
      <c r="D342" s="9"/>
      <c r="E342" s="9"/>
      <c r="F342" s="142"/>
      <c r="G342" s="193">
        <f>Input!J15</f>
        <v>0</v>
      </c>
      <c r="H342" s="112">
        <f t="shared" si="5"/>
        <v>0</v>
      </c>
      <c r="I342" s="112"/>
      <c r="J342" s="112"/>
      <c r="K342" s="112"/>
      <c r="L342" s="112"/>
      <c r="M342" s="112"/>
      <c r="N342" s="112"/>
      <c r="O342" s="107"/>
      <c r="P342" s="107"/>
      <c r="Q342" s="107"/>
      <c r="R342" s="107"/>
      <c r="S342" s="101"/>
      <c r="T342" s="107"/>
      <c r="U342" s="107"/>
      <c r="V342" s="107"/>
      <c r="W342" s="107"/>
      <c r="X342" s="107"/>
      <c r="Y342" s="107"/>
      <c r="Z342" s="107"/>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13"/>
      <c r="BK342" s="213"/>
    </row>
    <row r="343" spans="1:63" ht="12.75" hidden="1" customHeight="1" outlineLevel="1">
      <c r="A343" s="9"/>
      <c r="B343" s="46"/>
      <c r="C343" s="130">
        <f>Asset10</f>
        <v>0</v>
      </c>
      <c r="D343" s="9"/>
      <c r="E343" s="9"/>
      <c r="F343" s="142"/>
      <c r="G343" s="193">
        <f>Input!J16</f>
        <v>0</v>
      </c>
      <c r="H343" s="112">
        <f t="shared" si="5"/>
        <v>0</v>
      </c>
      <c r="I343" s="112"/>
      <c r="J343" s="112"/>
      <c r="K343" s="112"/>
      <c r="L343" s="112"/>
      <c r="M343" s="112"/>
      <c r="N343" s="112"/>
      <c r="O343" s="107"/>
      <c r="P343" s="107"/>
      <c r="Q343" s="107"/>
      <c r="R343" s="107"/>
      <c r="S343" s="101"/>
      <c r="T343" s="107"/>
      <c r="U343" s="107"/>
      <c r="V343" s="107"/>
      <c r="W343" s="107"/>
      <c r="X343" s="107"/>
      <c r="Y343" s="107"/>
      <c r="Z343" s="107"/>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13"/>
      <c r="BK343" s="213"/>
    </row>
    <row r="344" spans="1:63" ht="12.75" hidden="1" customHeight="1" outlineLevel="1">
      <c r="A344" s="9"/>
      <c r="B344" s="46"/>
      <c r="C344" s="130">
        <f>Asset11</f>
        <v>0</v>
      </c>
      <c r="D344" s="9"/>
      <c r="E344" s="9"/>
      <c r="F344" s="142"/>
      <c r="G344" s="193">
        <f>Input!J17</f>
        <v>0</v>
      </c>
      <c r="H344" s="112">
        <f t="shared" si="5"/>
        <v>0</v>
      </c>
      <c r="I344" s="112"/>
      <c r="J344" s="112"/>
      <c r="K344" s="112"/>
      <c r="L344" s="112"/>
      <c r="M344" s="112"/>
      <c r="N344" s="112"/>
      <c r="O344" s="107"/>
      <c r="P344" s="107"/>
      <c r="Q344" s="107"/>
      <c r="R344" s="107"/>
      <c r="S344" s="101"/>
      <c r="T344" s="107"/>
      <c r="U344" s="107"/>
      <c r="V344" s="107"/>
      <c r="W344" s="107"/>
      <c r="X344" s="107"/>
      <c r="Y344" s="107"/>
      <c r="Z344" s="107"/>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13"/>
      <c r="BK344" s="213"/>
    </row>
    <row r="345" spans="1:63" ht="12.75" hidden="1" customHeight="1" outlineLevel="1">
      <c r="A345" s="9"/>
      <c r="B345" s="46"/>
      <c r="C345" s="130">
        <f>Asset12</f>
        <v>0</v>
      </c>
      <c r="D345" s="9"/>
      <c r="E345" s="9"/>
      <c r="F345" s="142"/>
      <c r="G345" s="193">
        <f>Input!J18</f>
        <v>0</v>
      </c>
      <c r="H345" s="112">
        <f t="shared" si="5"/>
        <v>0</v>
      </c>
      <c r="I345" s="112"/>
      <c r="J345" s="112"/>
      <c r="K345" s="112"/>
      <c r="L345" s="112"/>
      <c r="M345" s="112"/>
      <c r="N345" s="112"/>
      <c r="O345" s="107"/>
      <c r="P345" s="107"/>
      <c r="Q345" s="107"/>
      <c r="R345" s="107"/>
      <c r="S345" s="101"/>
      <c r="T345" s="107"/>
      <c r="U345" s="107"/>
      <c r="V345" s="107"/>
      <c r="W345" s="107"/>
      <c r="X345" s="107"/>
      <c r="Y345" s="107"/>
      <c r="Z345" s="107"/>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13"/>
      <c r="BK345" s="213"/>
    </row>
    <row r="346" spans="1:63" ht="12.75" hidden="1" customHeight="1" outlineLevel="1">
      <c r="A346" s="9"/>
      <c r="B346" s="46"/>
      <c r="C346" s="130">
        <f>Asset13</f>
        <v>0</v>
      </c>
      <c r="D346" s="9"/>
      <c r="E346" s="9"/>
      <c r="F346" s="142"/>
      <c r="G346" s="193">
        <f>Input!J19</f>
        <v>0</v>
      </c>
      <c r="H346" s="112">
        <f t="shared" si="5"/>
        <v>0</v>
      </c>
      <c r="I346" s="112"/>
      <c r="J346" s="112"/>
      <c r="K346" s="112"/>
      <c r="L346" s="112"/>
      <c r="M346" s="112"/>
      <c r="N346" s="112"/>
      <c r="O346" s="107"/>
      <c r="P346" s="107"/>
      <c r="Q346" s="107"/>
      <c r="R346" s="107"/>
      <c r="S346" s="101"/>
      <c r="T346" s="107"/>
      <c r="U346" s="107"/>
      <c r="V346" s="107"/>
      <c r="W346" s="107"/>
      <c r="X346" s="107"/>
      <c r="Y346" s="107"/>
      <c r="Z346" s="107"/>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13"/>
      <c r="BK346" s="213"/>
    </row>
    <row r="347" spans="1:63" ht="12.75" hidden="1" customHeight="1" outlineLevel="1">
      <c r="A347" s="9"/>
      <c r="B347" s="46"/>
      <c r="C347" s="130">
        <f>Asset14</f>
        <v>0</v>
      </c>
      <c r="D347" s="9"/>
      <c r="E347" s="9"/>
      <c r="F347" s="142"/>
      <c r="G347" s="193">
        <f>Input!J20</f>
        <v>0</v>
      </c>
      <c r="H347" s="112">
        <f t="shared" si="5"/>
        <v>0</v>
      </c>
      <c r="I347" s="112"/>
      <c r="J347" s="112"/>
      <c r="K347" s="112"/>
      <c r="L347" s="112"/>
      <c r="M347" s="112"/>
      <c r="N347" s="112"/>
      <c r="O347" s="107"/>
      <c r="P347" s="107"/>
      <c r="Q347" s="107"/>
      <c r="R347" s="107"/>
      <c r="S347" s="101"/>
      <c r="T347" s="107"/>
      <c r="U347" s="107"/>
      <c r="V347" s="107"/>
      <c r="W347" s="107"/>
      <c r="X347" s="107"/>
      <c r="Y347" s="107"/>
      <c r="Z347" s="107"/>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13"/>
      <c r="BK347" s="213"/>
    </row>
    <row r="348" spans="1:63" ht="12.75" hidden="1" customHeight="1" outlineLevel="1">
      <c r="A348" s="9"/>
      <c r="B348" s="46"/>
      <c r="C348" s="130">
        <f>Asset15</f>
        <v>0</v>
      </c>
      <c r="D348" s="9"/>
      <c r="E348" s="9"/>
      <c r="F348" s="142"/>
      <c r="G348" s="193">
        <f>Input!J21</f>
        <v>0</v>
      </c>
      <c r="H348" s="112">
        <f t="shared" si="5"/>
        <v>0</v>
      </c>
      <c r="I348" s="112"/>
      <c r="J348" s="112"/>
      <c r="K348" s="112"/>
      <c r="L348" s="112"/>
      <c r="M348" s="112"/>
      <c r="N348" s="112"/>
      <c r="O348" s="107"/>
      <c r="P348" s="107"/>
      <c r="Q348" s="107"/>
      <c r="R348" s="107"/>
      <c r="S348" s="101"/>
      <c r="T348" s="107"/>
      <c r="U348" s="107"/>
      <c r="V348" s="107"/>
      <c r="W348" s="107"/>
      <c r="X348" s="107"/>
      <c r="Y348" s="107"/>
      <c r="Z348" s="107"/>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13"/>
      <c r="BK348" s="213"/>
    </row>
    <row r="349" spans="1:63" ht="12.75" hidden="1" customHeight="1" outlineLevel="1">
      <c r="A349" s="9"/>
      <c r="B349" s="46"/>
      <c r="C349" s="130">
        <f>Asset16</f>
        <v>0</v>
      </c>
      <c r="D349" s="9"/>
      <c r="E349" s="9"/>
      <c r="F349" s="142"/>
      <c r="G349" s="193">
        <f>Input!J22</f>
        <v>0</v>
      </c>
      <c r="H349" s="112">
        <f t="shared" si="5"/>
        <v>0</v>
      </c>
      <c r="I349" s="112"/>
      <c r="J349" s="112"/>
      <c r="K349" s="112"/>
      <c r="L349" s="112"/>
      <c r="M349" s="112"/>
      <c r="N349" s="112"/>
      <c r="O349" s="107"/>
      <c r="P349" s="107"/>
      <c r="Q349" s="107"/>
      <c r="R349" s="107"/>
      <c r="S349" s="101"/>
      <c r="T349" s="107"/>
      <c r="U349" s="107"/>
      <c r="V349" s="107"/>
      <c r="W349" s="107"/>
      <c r="X349" s="107"/>
      <c r="Y349" s="107"/>
      <c r="Z349" s="107"/>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13"/>
      <c r="BK349" s="213"/>
    </row>
    <row r="350" spans="1:63" ht="12.75" hidden="1" customHeight="1" outlineLevel="1">
      <c r="A350" s="9"/>
      <c r="B350" s="46"/>
      <c r="C350" s="130">
        <f>Asset17</f>
        <v>0</v>
      </c>
      <c r="D350" s="9"/>
      <c r="E350" s="9"/>
      <c r="F350" s="142"/>
      <c r="G350" s="193">
        <f>Input!J23</f>
        <v>0</v>
      </c>
      <c r="H350" s="112">
        <f t="shared" si="5"/>
        <v>0</v>
      </c>
      <c r="I350" s="112"/>
      <c r="J350" s="112"/>
      <c r="K350" s="112"/>
      <c r="L350" s="112"/>
      <c r="M350" s="112"/>
      <c r="N350" s="112"/>
      <c r="O350" s="107"/>
      <c r="P350" s="107"/>
      <c r="Q350" s="107"/>
      <c r="R350" s="107"/>
      <c r="S350" s="101"/>
      <c r="T350" s="107"/>
      <c r="U350" s="107"/>
      <c r="V350" s="107"/>
      <c r="W350" s="107"/>
      <c r="X350" s="107"/>
      <c r="Y350" s="107"/>
      <c r="Z350" s="107"/>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13"/>
      <c r="BK350" s="213"/>
    </row>
    <row r="351" spans="1:63" ht="12.75" hidden="1" customHeight="1" outlineLevel="1">
      <c r="A351" s="9"/>
      <c r="B351" s="46"/>
      <c r="C351" s="130">
        <f>Asset18</f>
        <v>0</v>
      </c>
      <c r="D351" s="9"/>
      <c r="E351" s="9"/>
      <c r="F351" s="142"/>
      <c r="G351" s="193">
        <f>Input!J24</f>
        <v>0</v>
      </c>
      <c r="H351" s="112">
        <f t="shared" si="5"/>
        <v>0</v>
      </c>
      <c r="I351" s="112"/>
      <c r="J351" s="112"/>
      <c r="K351" s="112"/>
      <c r="L351" s="112"/>
      <c r="M351" s="112"/>
      <c r="N351" s="112"/>
      <c r="O351" s="107"/>
      <c r="P351" s="107"/>
      <c r="Q351" s="107"/>
      <c r="R351" s="107"/>
      <c r="S351" s="101"/>
      <c r="T351" s="107"/>
      <c r="U351" s="107"/>
      <c r="V351" s="107"/>
      <c r="W351" s="107"/>
      <c r="X351" s="107"/>
      <c r="Y351" s="107"/>
      <c r="Z351" s="107"/>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13"/>
      <c r="BK351" s="213"/>
    </row>
    <row r="352" spans="1:63" ht="12.75" hidden="1" customHeight="1" outlineLevel="1">
      <c r="A352" s="9"/>
      <c r="B352" s="46"/>
      <c r="C352" s="130">
        <f>Asset19</f>
        <v>0</v>
      </c>
      <c r="D352" s="9"/>
      <c r="E352" s="9"/>
      <c r="F352" s="142"/>
      <c r="G352" s="193">
        <f>Input!J25</f>
        <v>0</v>
      </c>
      <c r="H352" s="112">
        <f t="shared" si="5"/>
        <v>0</v>
      </c>
      <c r="I352" s="121"/>
      <c r="J352" s="121"/>
      <c r="K352" s="121"/>
      <c r="L352" s="121"/>
      <c r="M352" s="107"/>
      <c r="N352" s="107"/>
      <c r="O352" s="107"/>
      <c r="P352" s="107"/>
      <c r="Q352" s="107"/>
      <c r="R352" s="107"/>
      <c r="S352" s="101"/>
      <c r="T352" s="107"/>
      <c r="U352" s="107"/>
      <c r="V352" s="107"/>
      <c r="W352" s="107"/>
      <c r="X352" s="107"/>
      <c r="Y352" s="107"/>
      <c r="Z352" s="107"/>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13"/>
      <c r="BK352" s="213"/>
    </row>
    <row r="353" spans="1:63" ht="12.75" hidden="1" customHeight="1" outlineLevel="1">
      <c r="A353" s="9"/>
      <c r="B353" s="46"/>
      <c r="C353" s="130">
        <f>Asset20</f>
        <v>0</v>
      </c>
      <c r="D353" s="9"/>
      <c r="E353" s="9"/>
      <c r="F353" s="142"/>
      <c r="G353" s="193">
        <f>Input!J26</f>
        <v>0</v>
      </c>
      <c r="H353" s="112">
        <f t="shared" si="5"/>
        <v>0</v>
      </c>
      <c r="I353" s="121"/>
      <c r="J353" s="121"/>
      <c r="K353" s="121"/>
      <c r="L353" s="121"/>
      <c r="M353" s="107"/>
      <c r="N353" s="107"/>
      <c r="O353" s="107"/>
      <c r="P353" s="107"/>
      <c r="Q353" s="107"/>
      <c r="R353" s="107"/>
      <c r="S353" s="101"/>
      <c r="T353" s="107"/>
      <c r="U353" s="107"/>
      <c r="V353" s="107"/>
      <c r="W353" s="107"/>
      <c r="X353" s="107"/>
      <c r="Y353" s="107"/>
      <c r="Z353" s="107"/>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13"/>
      <c r="BK353" s="213"/>
    </row>
    <row r="354" spans="1:63" ht="12.75" hidden="1" customHeight="1" outlineLevel="1">
      <c r="A354" s="9"/>
      <c r="B354" s="46"/>
      <c r="C354" s="130">
        <f>Asset21</f>
        <v>0</v>
      </c>
      <c r="D354" s="9"/>
      <c r="E354" s="9"/>
      <c r="F354" s="142"/>
      <c r="G354" s="193">
        <f>Input!J27</f>
        <v>0</v>
      </c>
      <c r="H354" s="112">
        <f t="shared" si="5"/>
        <v>0</v>
      </c>
      <c r="I354" s="121"/>
      <c r="J354" s="121"/>
      <c r="K354" s="121"/>
      <c r="L354" s="121"/>
      <c r="M354" s="107"/>
      <c r="N354" s="107"/>
      <c r="O354" s="107"/>
      <c r="P354" s="107"/>
      <c r="Q354" s="107"/>
      <c r="R354" s="107"/>
      <c r="S354" s="101"/>
      <c r="T354" s="107"/>
      <c r="U354" s="107"/>
      <c r="V354" s="107"/>
      <c r="W354" s="107"/>
      <c r="X354" s="107"/>
      <c r="Y354" s="107"/>
      <c r="Z354" s="107"/>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13"/>
      <c r="BK354" s="213"/>
    </row>
    <row r="355" spans="1:63" ht="12.75" hidden="1" customHeight="1" outlineLevel="1">
      <c r="A355" s="9"/>
      <c r="B355" s="46"/>
      <c r="C355" s="130">
        <f>Asset22</f>
        <v>0</v>
      </c>
      <c r="D355" s="9"/>
      <c r="E355" s="9"/>
      <c r="F355" s="142"/>
      <c r="G355" s="193">
        <f>Input!J28</f>
        <v>0</v>
      </c>
      <c r="H355" s="112">
        <f t="shared" si="5"/>
        <v>0</v>
      </c>
      <c r="I355" s="121"/>
      <c r="J355" s="121"/>
      <c r="K355" s="121"/>
      <c r="L355" s="121"/>
      <c r="M355" s="107"/>
      <c r="N355" s="107"/>
      <c r="O355" s="107"/>
      <c r="P355" s="107"/>
      <c r="Q355" s="107"/>
      <c r="R355" s="107"/>
      <c r="S355" s="101"/>
      <c r="T355" s="107"/>
      <c r="U355" s="107"/>
      <c r="V355" s="107"/>
      <c r="W355" s="107"/>
      <c r="X355" s="107"/>
      <c r="Y355" s="107"/>
      <c r="Z355" s="107"/>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13"/>
      <c r="BK355" s="213"/>
    </row>
    <row r="356" spans="1:63" ht="12.75" hidden="1" customHeight="1" outlineLevel="1">
      <c r="A356" s="9"/>
      <c r="B356" s="46"/>
      <c r="C356" s="130">
        <f>Asset23</f>
        <v>0</v>
      </c>
      <c r="D356" s="9"/>
      <c r="E356" s="9"/>
      <c r="F356" s="142"/>
      <c r="G356" s="193">
        <f>Input!J29</f>
        <v>0</v>
      </c>
      <c r="H356" s="112">
        <f t="shared" si="5"/>
        <v>0</v>
      </c>
      <c r="I356" s="121"/>
      <c r="J356" s="121"/>
      <c r="K356" s="121"/>
      <c r="L356" s="121"/>
      <c r="M356" s="107"/>
      <c r="N356" s="107"/>
      <c r="O356" s="107"/>
      <c r="P356" s="107"/>
      <c r="Q356" s="107"/>
      <c r="R356" s="107"/>
      <c r="S356" s="101"/>
      <c r="T356" s="107"/>
      <c r="U356" s="107"/>
      <c r="V356" s="107"/>
      <c r="W356" s="107"/>
      <c r="X356" s="107"/>
      <c r="Y356" s="107"/>
      <c r="Z356" s="107"/>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13"/>
      <c r="BK356" s="213"/>
    </row>
    <row r="357" spans="1:63" ht="12.75" hidden="1" customHeight="1" outlineLevel="1">
      <c r="A357" s="9"/>
      <c r="B357" s="46"/>
      <c r="C357" s="130">
        <f>Asset24</f>
        <v>0</v>
      </c>
      <c r="D357" s="9"/>
      <c r="E357" s="9"/>
      <c r="F357" s="142"/>
      <c r="G357" s="193">
        <f>Input!J30</f>
        <v>0</v>
      </c>
      <c r="H357" s="112">
        <f t="shared" si="5"/>
        <v>0</v>
      </c>
      <c r="I357" s="121"/>
      <c r="J357" s="121"/>
      <c r="K357" s="121"/>
      <c r="L357" s="121"/>
      <c r="M357" s="107"/>
      <c r="N357" s="107"/>
      <c r="O357" s="107"/>
      <c r="P357" s="107"/>
      <c r="Q357" s="107"/>
      <c r="R357" s="107"/>
      <c r="S357" s="101"/>
      <c r="T357" s="107"/>
      <c r="U357" s="107"/>
      <c r="V357" s="107"/>
      <c r="W357" s="107"/>
      <c r="X357" s="107"/>
      <c r="Y357" s="107"/>
      <c r="Z357" s="107"/>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13"/>
      <c r="BK357" s="213"/>
    </row>
    <row r="358" spans="1:63" ht="12.75" hidden="1" customHeight="1" outlineLevel="1">
      <c r="A358" s="9"/>
      <c r="B358" s="46"/>
      <c r="C358" s="130">
        <f>Asset25</f>
        <v>0</v>
      </c>
      <c r="D358" s="9"/>
      <c r="E358" s="9"/>
      <c r="F358" s="142"/>
      <c r="G358" s="193">
        <f>Input!J31</f>
        <v>0</v>
      </c>
      <c r="H358" s="112">
        <f t="shared" si="5"/>
        <v>0</v>
      </c>
      <c r="I358" s="121"/>
      <c r="J358" s="121"/>
      <c r="K358" s="121"/>
      <c r="L358" s="121"/>
      <c r="M358" s="107"/>
      <c r="N358" s="107"/>
      <c r="O358" s="107"/>
      <c r="P358" s="107"/>
      <c r="Q358" s="107"/>
      <c r="R358" s="107"/>
      <c r="S358" s="101"/>
      <c r="T358" s="107"/>
      <c r="U358" s="107"/>
      <c r="V358" s="107"/>
      <c r="W358" s="107"/>
      <c r="X358" s="107"/>
      <c r="Y358" s="107"/>
      <c r="Z358" s="107"/>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13"/>
      <c r="BK358" s="213"/>
    </row>
    <row r="359" spans="1:63" ht="12.75" hidden="1" customHeight="1" outlineLevel="1">
      <c r="A359" s="9"/>
      <c r="B359" s="46"/>
      <c r="C359" s="130">
        <f>Asset26</f>
        <v>0</v>
      </c>
      <c r="D359" s="9"/>
      <c r="E359" s="9"/>
      <c r="F359" s="142"/>
      <c r="G359" s="193">
        <f>Input!J32</f>
        <v>0</v>
      </c>
      <c r="H359" s="112">
        <f t="shared" si="5"/>
        <v>0</v>
      </c>
      <c r="I359" s="121"/>
      <c r="J359" s="121"/>
      <c r="K359" s="121"/>
      <c r="L359" s="121"/>
      <c r="M359" s="107"/>
      <c r="N359" s="107"/>
      <c r="O359" s="107"/>
      <c r="P359" s="107"/>
      <c r="Q359" s="107"/>
      <c r="R359" s="107"/>
      <c r="S359" s="101"/>
      <c r="T359" s="107"/>
      <c r="U359" s="107"/>
      <c r="V359" s="107"/>
      <c r="W359" s="107"/>
      <c r="X359" s="107"/>
      <c r="Y359" s="107"/>
      <c r="Z359" s="107"/>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13"/>
      <c r="BK359" s="213"/>
    </row>
    <row r="360" spans="1:63" ht="12.75" hidden="1" customHeight="1" outlineLevel="1">
      <c r="A360" s="9"/>
      <c r="B360" s="46"/>
      <c r="C360" s="130">
        <f>Asset27</f>
        <v>0</v>
      </c>
      <c r="D360" s="9"/>
      <c r="E360" s="9"/>
      <c r="F360" s="142"/>
      <c r="G360" s="193">
        <f>Input!J33</f>
        <v>0</v>
      </c>
      <c r="H360" s="112">
        <f t="shared" si="5"/>
        <v>0</v>
      </c>
      <c r="I360" s="121"/>
      <c r="J360" s="121"/>
      <c r="K360" s="121"/>
      <c r="L360" s="121"/>
      <c r="M360" s="107"/>
      <c r="N360" s="107"/>
      <c r="O360" s="107"/>
      <c r="P360" s="107"/>
      <c r="Q360" s="107"/>
      <c r="R360" s="107"/>
      <c r="S360" s="101"/>
      <c r="T360" s="107"/>
      <c r="U360" s="107"/>
      <c r="V360" s="107"/>
      <c r="W360" s="107"/>
      <c r="X360" s="107"/>
      <c r="Y360" s="107"/>
      <c r="Z360" s="107"/>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13"/>
      <c r="BK360" s="213"/>
    </row>
    <row r="361" spans="1:63" ht="12.75" hidden="1" customHeight="1" outlineLevel="1">
      <c r="A361" s="9"/>
      <c r="B361" s="46"/>
      <c r="C361" s="130">
        <f>Asset28</f>
        <v>0</v>
      </c>
      <c r="D361" s="9"/>
      <c r="E361" s="9"/>
      <c r="F361" s="142"/>
      <c r="G361" s="193">
        <f>Input!J34</f>
        <v>0</v>
      </c>
      <c r="H361" s="112">
        <f t="shared" si="5"/>
        <v>0</v>
      </c>
      <c r="I361" s="121"/>
      <c r="J361" s="121"/>
      <c r="K361" s="121"/>
      <c r="L361" s="121"/>
      <c r="M361" s="107"/>
      <c r="N361" s="107"/>
      <c r="O361" s="107"/>
      <c r="P361" s="107"/>
      <c r="Q361" s="107"/>
      <c r="R361" s="107"/>
      <c r="S361" s="101"/>
      <c r="T361" s="107"/>
      <c r="U361" s="107"/>
      <c r="V361" s="107"/>
      <c r="W361" s="107"/>
      <c r="X361" s="107"/>
      <c r="Y361" s="107"/>
      <c r="Z361" s="107"/>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13"/>
      <c r="BK361" s="213"/>
    </row>
    <row r="362" spans="1:63" ht="12.75" hidden="1" customHeight="1" outlineLevel="1">
      <c r="A362" s="9"/>
      <c r="B362" s="46"/>
      <c r="C362" s="130">
        <f>Asset29</f>
        <v>0</v>
      </c>
      <c r="D362" s="9"/>
      <c r="E362" s="9"/>
      <c r="F362" s="142"/>
      <c r="G362" s="193">
        <f>Input!J35</f>
        <v>0</v>
      </c>
      <c r="H362" s="112">
        <f t="shared" si="5"/>
        <v>0</v>
      </c>
      <c r="I362" s="121"/>
      <c r="J362" s="121"/>
      <c r="K362" s="121"/>
      <c r="L362" s="121"/>
      <c r="M362" s="107"/>
      <c r="N362" s="107"/>
      <c r="O362" s="107"/>
      <c r="P362" s="107"/>
      <c r="Q362" s="107"/>
      <c r="R362" s="107"/>
      <c r="S362" s="101"/>
      <c r="T362" s="107"/>
      <c r="U362" s="107"/>
      <c r="V362" s="107"/>
      <c r="W362" s="107"/>
      <c r="X362" s="107"/>
      <c r="Y362" s="107"/>
      <c r="Z362" s="107"/>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13"/>
      <c r="BK362" s="213"/>
    </row>
    <row r="363" spans="1:63" ht="12.75" hidden="1" customHeight="1" outlineLevel="1">
      <c r="A363" s="9"/>
      <c r="B363" s="46"/>
      <c r="C363" s="130">
        <f>Asset30</f>
        <v>0</v>
      </c>
      <c r="D363" s="9"/>
      <c r="E363" s="9"/>
      <c r="F363" s="142"/>
      <c r="G363" s="193">
        <f>Input!J36</f>
        <v>0</v>
      </c>
      <c r="H363" s="112">
        <f t="shared" si="5"/>
        <v>0</v>
      </c>
      <c r="I363" s="121"/>
      <c r="J363" s="121"/>
      <c r="K363" s="121"/>
      <c r="L363" s="121"/>
      <c r="M363" s="107"/>
      <c r="N363" s="107"/>
      <c r="O363" s="107"/>
      <c r="P363" s="107"/>
      <c r="Q363" s="107"/>
      <c r="R363" s="107"/>
      <c r="S363" s="101"/>
      <c r="T363" s="107"/>
      <c r="U363" s="107"/>
      <c r="V363" s="107"/>
      <c r="W363" s="107"/>
      <c r="X363" s="107"/>
      <c r="Y363" s="107"/>
      <c r="Z363" s="107"/>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13"/>
      <c r="BK363" s="213"/>
    </row>
    <row r="364" spans="1:63" collapsed="1">
      <c r="A364" s="9"/>
      <c r="B364" s="46"/>
      <c r="C364" s="130"/>
      <c r="D364" s="9"/>
      <c r="E364" s="9"/>
      <c r="F364" s="142"/>
      <c r="G364" s="193"/>
      <c r="H364" s="121"/>
      <c r="I364" s="121"/>
      <c r="J364" s="121"/>
      <c r="K364" s="121"/>
      <c r="L364" s="121"/>
      <c r="M364" s="107"/>
      <c r="N364" s="107"/>
      <c r="O364" s="107"/>
      <c r="P364" s="107"/>
      <c r="Q364" s="107"/>
      <c r="R364" s="107"/>
      <c r="S364" s="101"/>
      <c r="T364" s="107"/>
      <c r="U364" s="107"/>
      <c r="V364" s="107"/>
      <c r="W364" s="107"/>
      <c r="X364" s="107"/>
      <c r="Y364" s="107"/>
      <c r="Z364" s="107"/>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13"/>
      <c r="BK364" s="213"/>
    </row>
    <row r="365" spans="1:63">
      <c r="A365" s="9"/>
      <c r="B365" s="46" t="s">
        <v>45</v>
      </c>
      <c r="C365" s="9"/>
      <c r="D365" s="9"/>
      <c r="E365" s="9"/>
      <c r="F365" s="9"/>
      <c r="G365" s="194">
        <f>SUM(G366:G395)</f>
        <v>125.76363773002549</v>
      </c>
      <c r="H365" s="121"/>
      <c r="I365" s="121"/>
      <c r="J365" s="121"/>
      <c r="K365" s="121"/>
      <c r="L365" s="121"/>
      <c r="M365" s="107"/>
      <c r="N365" s="107"/>
      <c r="O365" s="107"/>
      <c r="P365" s="107"/>
      <c r="Q365" s="107"/>
      <c r="R365" s="107"/>
      <c r="S365" s="101"/>
      <c r="T365" s="107"/>
      <c r="U365" s="107"/>
      <c r="V365" s="107"/>
      <c r="W365" s="107"/>
      <c r="X365" s="107"/>
      <c r="Y365" s="107"/>
      <c r="Z365" s="107"/>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13"/>
      <c r="BK365" s="213"/>
    </row>
    <row r="366" spans="1:63" ht="12.75" hidden="1" customHeight="1" outlineLevel="1">
      <c r="A366" s="9"/>
      <c r="B366" s="46"/>
      <c r="C366" s="130" t="str">
        <f>Asset1</f>
        <v>Subtransmission</v>
      </c>
      <c r="D366" s="9"/>
      <c r="E366" s="9"/>
      <c r="F366" s="9"/>
      <c r="G366" s="196">
        <f>Input!M7</f>
        <v>21.188638065017898</v>
      </c>
      <c r="H366" s="121"/>
      <c r="I366" s="121"/>
      <c r="J366" s="121"/>
      <c r="K366" s="121"/>
      <c r="L366" s="121"/>
      <c r="M366" s="107"/>
      <c r="N366" s="107"/>
      <c r="O366" s="107"/>
      <c r="P366" s="107"/>
      <c r="Q366" s="107"/>
      <c r="R366" s="107"/>
      <c r="S366" s="101"/>
      <c r="T366" s="107"/>
      <c r="U366" s="107"/>
      <c r="V366" s="107"/>
      <c r="W366" s="107"/>
      <c r="X366" s="107"/>
      <c r="Y366" s="107"/>
      <c r="Z366" s="107"/>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13"/>
      <c r="BK366" s="213"/>
    </row>
    <row r="367" spans="1:63" ht="12.75" hidden="1" customHeight="1" outlineLevel="1">
      <c r="A367" s="9"/>
      <c r="B367" s="46"/>
      <c r="C367" s="130" t="str">
        <f>Asset2</f>
        <v>Distribution system assets</v>
      </c>
      <c r="D367" s="9"/>
      <c r="E367" s="9"/>
      <c r="F367" s="9"/>
      <c r="G367" s="196">
        <f>Input!M8</f>
        <v>94.705826815053854</v>
      </c>
      <c r="H367" s="121"/>
      <c r="I367" s="121"/>
      <c r="J367" s="121"/>
      <c r="K367" s="121"/>
      <c r="L367" s="121"/>
      <c r="M367" s="107"/>
      <c r="N367" s="107"/>
      <c r="O367" s="107"/>
      <c r="P367" s="107"/>
      <c r="Q367" s="107"/>
      <c r="R367" s="107"/>
      <c r="S367" s="101"/>
      <c r="T367" s="107"/>
      <c r="U367" s="107"/>
      <c r="V367" s="107"/>
      <c r="W367" s="107"/>
      <c r="X367" s="107"/>
      <c r="Y367" s="107"/>
      <c r="Z367" s="107"/>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13"/>
      <c r="BK367" s="213"/>
    </row>
    <row r="368" spans="1:63" ht="12.75" hidden="1" customHeight="1" outlineLevel="1">
      <c r="A368" s="9"/>
      <c r="B368" s="46"/>
      <c r="C368" s="130" t="str">
        <f>Asset3</f>
        <v>Standard metering</v>
      </c>
      <c r="D368" s="9"/>
      <c r="E368" s="9"/>
      <c r="F368" s="9"/>
      <c r="G368" s="196">
        <f>Input!M9</f>
        <v>0</v>
      </c>
      <c r="H368" s="121"/>
      <c r="I368" s="121"/>
      <c r="J368" s="121"/>
      <c r="K368" s="121"/>
      <c r="L368" s="121"/>
      <c r="M368" s="107"/>
      <c r="N368" s="107"/>
      <c r="O368" s="107"/>
      <c r="P368" s="107"/>
      <c r="Q368" s="107"/>
      <c r="R368" s="107"/>
      <c r="S368" s="101"/>
      <c r="T368" s="107"/>
      <c r="U368" s="107"/>
      <c r="V368" s="107"/>
      <c r="W368" s="107"/>
      <c r="X368" s="107"/>
      <c r="Y368" s="107"/>
      <c r="Z368" s="107"/>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13"/>
      <c r="BK368" s="213"/>
    </row>
    <row r="369" spans="1:63" ht="12.75" hidden="1" customHeight="1" outlineLevel="1">
      <c r="A369" s="9"/>
      <c r="B369" s="46"/>
      <c r="C369" s="130" t="str">
        <f>Asset4</f>
        <v>Public lighting</v>
      </c>
      <c r="D369" s="9"/>
      <c r="E369" s="9"/>
      <c r="F369" s="9"/>
      <c r="G369" s="196">
        <f>Input!M10</f>
        <v>0</v>
      </c>
      <c r="H369" s="121"/>
      <c r="I369" s="121"/>
      <c r="J369" s="121"/>
      <c r="K369" s="121"/>
      <c r="L369" s="121"/>
      <c r="M369" s="107"/>
      <c r="N369" s="107"/>
      <c r="O369" s="107"/>
      <c r="P369" s="107"/>
      <c r="Q369" s="107"/>
      <c r="R369" s="107"/>
      <c r="S369" s="101"/>
      <c r="T369" s="107"/>
      <c r="U369" s="107"/>
      <c r="V369" s="107"/>
      <c r="W369" s="107"/>
      <c r="X369" s="107"/>
      <c r="Y369" s="107"/>
      <c r="Z369" s="107"/>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13"/>
      <c r="BK369" s="213"/>
    </row>
    <row r="370" spans="1:63" ht="12.75" hidden="1" customHeight="1" outlineLevel="1">
      <c r="A370" s="9"/>
      <c r="B370" s="46"/>
      <c r="C370" s="130" t="str">
        <f>Asset5</f>
        <v>SCADA/Network control</v>
      </c>
      <c r="D370" s="9"/>
      <c r="E370" s="9"/>
      <c r="F370" s="9"/>
      <c r="G370" s="196">
        <f>Input!M11</f>
        <v>2.653848514099213</v>
      </c>
      <c r="H370" s="121"/>
      <c r="I370" s="121"/>
      <c r="J370" s="121"/>
      <c r="K370" s="121"/>
      <c r="L370" s="121"/>
      <c r="M370" s="107"/>
      <c r="N370" s="107"/>
      <c r="O370" s="107"/>
      <c r="P370" s="107"/>
      <c r="Q370" s="107"/>
      <c r="R370" s="107"/>
      <c r="S370" s="101"/>
      <c r="T370" s="107"/>
      <c r="U370" s="107"/>
      <c r="V370" s="107"/>
      <c r="W370" s="107"/>
      <c r="X370" s="107"/>
      <c r="Y370" s="107"/>
      <c r="Z370" s="107"/>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13"/>
      <c r="BK370" s="213"/>
    </row>
    <row r="371" spans="1:63" ht="12.75" hidden="1" customHeight="1" outlineLevel="1">
      <c r="A371" s="9"/>
      <c r="B371" s="46"/>
      <c r="C371" s="130" t="str">
        <f>Asset6</f>
        <v>Non-network general assets - IT</v>
      </c>
      <c r="D371" s="9"/>
      <c r="E371" s="9"/>
      <c r="F371" s="9"/>
      <c r="G371" s="196">
        <f>Input!M12</f>
        <v>4.9837282671718182</v>
      </c>
      <c r="H371" s="121"/>
      <c r="I371" s="121"/>
      <c r="J371" s="121"/>
      <c r="K371" s="121"/>
      <c r="L371" s="121"/>
      <c r="M371" s="107"/>
      <c r="N371" s="107"/>
      <c r="O371" s="107"/>
      <c r="P371" s="107"/>
      <c r="Q371" s="107"/>
      <c r="R371" s="107"/>
      <c r="S371" s="101"/>
      <c r="T371" s="107"/>
      <c r="U371" s="107"/>
      <c r="V371" s="107"/>
      <c r="W371" s="107"/>
      <c r="X371" s="107"/>
      <c r="Y371" s="107"/>
      <c r="Z371" s="107"/>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13"/>
      <c r="BK371" s="213"/>
    </row>
    <row r="372" spans="1:63" ht="12.75" hidden="1" customHeight="1" outlineLevel="1">
      <c r="A372" s="9"/>
      <c r="B372" s="46"/>
      <c r="C372" s="130" t="str">
        <f>Asset7</f>
        <v>Non-network general assets - Other</v>
      </c>
      <c r="D372" s="9"/>
      <c r="E372" s="9"/>
      <c r="F372" s="9"/>
      <c r="G372" s="196">
        <f>Input!M13</f>
        <v>2.2315960686827254</v>
      </c>
      <c r="H372" s="121"/>
      <c r="I372" s="121"/>
      <c r="J372" s="121"/>
      <c r="K372" s="121"/>
      <c r="L372" s="121"/>
      <c r="M372" s="107"/>
      <c r="N372" s="107"/>
      <c r="O372" s="107"/>
      <c r="P372" s="107"/>
      <c r="Q372" s="107"/>
      <c r="R372" s="107"/>
      <c r="S372" s="101"/>
      <c r="T372" s="107"/>
      <c r="U372" s="107"/>
      <c r="V372" s="107"/>
      <c r="W372" s="107"/>
      <c r="X372" s="107"/>
      <c r="Y372" s="107"/>
      <c r="Z372" s="107"/>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13"/>
      <c r="BK372" s="213"/>
    </row>
    <row r="373" spans="1:63" ht="12.75" hidden="1" customHeight="1" outlineLevel="1">
      <c r="A373" s="9"/>
      <c r="B373" s="46"/>
      <c r="C373" s="130" t="str">
        <f>Asset8</f>
        <v>VBRC</v>
      </c>
      <c r="D373" s="9"/>
      <c r="E373" s="9"/>
      <c r="F373" s="9"/>
      <c r="G373" s="196">
        <f>Input!M14</f>
        <v>0</v>
      </c>
      <c r="H373" s="121"/>
      <c r="I373" s="121"/>
      <c r="J373" s="121"/>
      <c r="K373" s="121"/>
      <c r="L373" s="121"/>
      <c r="M373" s="107"/>
      <c r="N373" s="107"/>
      <c r="O373" s="107"/>
      <c r="P373" s="107"/>
      <c r="Q373" s="107"/>
      <c r="R373" s="107"/>
      <c r="S373" s="101"/>
      <c r="T373" s="107"/>
      <c r="U373" s="107"/>
      <c r="V373" s="107"/>
      <c r="W373" s="107"/>
      <c r="X373" s="107"/>
      <c r="Y373" s="107"/>
      <c r="Z373" s="107"/>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13"/>
      <c r="BK373" s="213"/>
    </row>
    <row r="374" spans="1:63" ht="12.75" hidden="1" customHeight="1" outlineLevel="1">
      <c r="A374" s="9"/>
      <c r="B374" s="46"/>
      <c r="C374" s="130" t="str">
        <f>Asset9</f>
        <v>Equity raising</v>
      </c>
      <c r="D374" s="9"/>
      <c r="E374" s="9"/>
      <c r="F374" s="9"/>
      <c r="G374" s="196">
        <f>Input!M15</f>
        <v>0</v>
      </c>
      <c r="H374" s="121"/>
      <c r="I374" s="121"/>
      <c r="J374" s="121"/>
      <c r="K374" s="121"/>
      <c r="L374" s="121"/>
      <c r="M374" s="107"/>
      <c r="N374" s="107"/>
      <c r="O374" s="107"/>
      <c r="P374" s="107"/>
      <c r="Q374" s="107"/>
      <c r="R374" s="107"/>
      <c r="S374" s="101"/>
      <c r="T374" s="107"/>
      <c r="U374" s="107"/>
      <c r="V374" s="107"/>
      <c r="W374" s="107"/>
      <c r="X374" s="107"/>
      <c r="Y374" s="107"/>
      <c r="Z374" s="107"/>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13"/>
      <c r="BK374" s="213"/>
    </row>
    <row r="375" spans="1:63" ht="12.75" hidden="1" customHeight="1" outlineLevel="1">
      <c r="A375" s="9"/>
      <c r="B375" s="46"/>
      <c r="C375" s="130">
        <f>Asset10</f>
        <v>0</v>
      </c>
      <c r="D375" s="9"/>
      <c r="E375" s="9"/>
      <c r="F375" s="9"/>
      <c r="G375" s="196">
        <f>Input!M16</f>
        <v>0</v>
      </c>
      <c r="H375" s="121"/>
      <c r="I375" s="121"/>
      <c r="J375" s="121"/>
      <c r="K375" s="121"/>
      <c r="L375" s="121"/>
      <c r="M375" s="107"/>
      <c r="N375" s="107"/>
      <c r="O375" s="107"/>
      <c r="P375" s="107"/>
      <c r="Q375" s="107"/>
      <c r="R375" s="107"/>
      <c r="S375" s="101"/>
      <c r="T375" s="107"/>
      <c r="U375" s="107"/>
      <c r="V375" s="107"/>
      <c r="W375" s="107"/>
      <c r="X375" s="107"/>
      <c r="Y375" s="107"/>
      <c r="Z375" s="107"/>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13"/>
      <c r="BK375" s="213"/>
    </row>
    <row r="376" spans="1:63" ht="12.75" hidden="1" customHeight="1" outlineLevel="1">
      <c r="A376" s="9"/>
      <c r="B376" s="46"/>
      <c r="C376" s="130">
        <f>Asset11</f>
        <v>0</v>
      </c>
      <c r="D376" s="9"/>
      <c r="E376" s="9"/>
      <c r="F376" s="9"/>
      <c r="G376" s="196">
        <f>Input!M17</f>
        <v>0</v>
      </c>
      <c r="H376" s="121"/>
      <c r="I376" s="121"/>
      <c r="J376" s="121"/>
      <c r="K376" s="121"/>
      <c r="L376" s="121"/>
      <c r="M376" s="107"/>
      <c r="N376" s="107"/>
      <c r="O376" s="107"/>
      <c r="P376" s="107"/>
      <c r="Q376" s="107"/>
      <c r="R376" s="107"/>
      <c r="S376" s="101"/>
      <c r="T376" s="107"/>
      <c r="U376" s="107"/>
      <c r="V376" s="107"/>
      <c r="W376" s="107"/>
      <c r="X376" s="107"/>
      <c r="Y376" s="107"/>
      <c r="Z376" s="107"/>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13"/>
      <c r="BK376" s="213"/>
    </row>
    <row r="377" spans="1:63" ht="12.75" hidden="1" customHeight="1" outlineLevel="1">
      <c r="A377" s="9"/>
      <c r="B377" s="46"/>
      <c r="C377" s="130">
        <f>Asset12</f>
        <v>0</v>
      </c>
      <c r="D377" s="9"/>
      <c r="E377" s="9"/>
      <c r="F377" s="9"/>
      <c r="G377" s="196">
        <f>Input!M18</f>
        <v>0</v>
      </c>
      <c r="H377" s="121"/>
      <c r="I377" s="121"/>
      <c r="J377" s="121"/>
      <c r="K377" s="121"/>
      <c r="L377" s="121"/>
      <c r="M377" s="107"/>
      <c r="N377" s="107"/>
      <c r="O377" s="107"/>
      <c r="P377" s="107"/>
      <c r="Q377" s="107"/>
      <c r="R377" s="107"/>
      <c r="S377" s="101"/>
      <c r="T377" s="107"/>
      <c r="U377" s="107"/>
      <c r="V377" s="107"/>
      <c r="W377" s="107"/>
      <c r="X377" s="107"/>
      <c r="Y377" s="107"/>
      <c r="Z377" s="107"/>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13"/>
      <c r="BK377" s="213"/>
    </row>
    <row r="378" spans="1:63" ht="12.75" hidden="1" customHeight="1" outlineLevel="1">
      <c r="A378" s="9"/>
      <c r="B378" s="46"/>
      <c r="C378" s="130">
        <f>Asset13</f>
        <v>0</v>
      </c>
      <c r="D378" s="9"/>
      <c r="E378" s="9"/>
      <c r="F378" s="9"/>
      <c r="G378" s="196">
        <f>Input!M19</f>
        <v>0</v>
      </c>
      <c r="H378" s="121"/>
      <c r="I378" s="121"/>
      <c r="J378" s="121"/>
      <c r="K378" s="121"/>
      <c r="L378" s="121"/>
      <c r="M378" s="107"/>
      <c r="N378" s="107"/>
      <c r="O378" s="107"/>
      <c r="P378" s="107"/>
      <c r="Q378" s="107"/>
      <c r="R378" s="107"/>
      <c r="S378" s="101"/>
      <c r="T378" s="107"/>
      <c r="U378" s="107"/>
      <c r="V378" s="107"/>
      <c r="W378" s="107"/>
      <c r="X378" s="107"/>
      <c r="Y378" s="107"/>
      <c r="Z378" s="107"/>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13"/>
      <c r="BK378" s="213"/>
    </row>
    <row r="379" spans="1:63" ht="12.75" hidden="1" customHeight="1" outlineLevel="1">
      <c r="A379" s="9"/>
      <c r="B379" s="46"/>
      <c r="C379" s="130">
        <f>Asset14</f>
        <v>0</v>
      </c>
      <c r="D379" s="9"/>
      <c r="E379" s="9"/>
      <c r="F379" s="9"/>
      <c r="G379" s="196">
        <f>Input!M20</f>
        <v>0</v>
      </c>
      <c r="H379" s="121"/>
      <c r="I379" s="121"/>
      <c r="J379" s="121"/>
      <c r="K379" s="121"/>
      <c r="L379" s="121"/>
      <c r="M379" s="107"/>
      <c r="N379" s="107"/>
      <c r="O379" s="107"/>
      <c r="P379" s="107"/>
      <c r="Q379" s="107"/>
      <c r="R379" s="107"/>
      <c r="S379" s="101"/>
      <c r="T379" s="107"/>
      <c r="U379" s="107"/>
      <c r="V379" s="107"/>
      <c r="W379" s="107"/>
      <c r="X379" s="107"/>
      <c r="Y379" s="107"/>
      <c r="Z379" s="107"/>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13"/>
      <c r="BK379" s="213"/>
    </row>
    <row r="380" spans="1:63" ht="12.75" hidden="1" customHeight="1" outlineLevel="1">
      <c r="A380" s="9"/>
      <c r="B380" s="46"/>
      <c r="C380" s="130">
        <f>Asset15</f>
        <v>0</v>
      </c>
      <c r="D380" s="9"/>
      <c r="E380" s="9"/>
      <c r="F380" s="9"/>
      <c r="G380" s="196">
        <f>Input!M21</f>
        <v>0</v>
      </c>
      <c r="H380" s="121"/>
      <c r="I380" s="121"/>
      <c r="J380" s="121"/>
      <c r="K380" s="121"/>
      <c r="L380" s="121"/>
      <c r="M380" s="107"/>
      <c r="N380" s="107"/>
      <c r="O380" s="107"/>
      <c r="P380" s="107"/>
      <c r="Q380" s="107"/>
      <c r="R380" s="107"/>
      <c r="S380" s="101"/>
      <c r="T380" s="107"/>
      <c r="U380" s="107"/>
      <c r="V380" s="107"/>
      <c r="W380" s="107"/>
      <c r="X380" s="107"/>
      <c r="Y380" s="107"/>
      <c r="Z380" s="107"/>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13"/>
      <c r="BK380" s="213"/>
    </row>
    <row r="381" spans="1:63" ht="12.75" hidden="1" customHeight="1" outlineLevel="1">
      <c r="A381" s="9"/>
      <c r="B381" s="46"/>
      <c r="C381" s="130">
        <f>Asset16</f>
        <v>0</v>
      </c>
      <c r="D381" s="9"/>
      <c r="E381" s="9"/>
      <c r="F381" s="9"/>
      <c r="G381" s="196">
        <f>Input!M22</f>
        <v>0</v>
      </c>
      <c r="H381" s="121"/>
      <c r="I381" s="121"/>
      <c r="J381" s="121"/>
      <c r="K381" s="121"/>
      <c r="L381" s="121"/>
      <c r="M381" s="107"/>
      <c r="N381" s="107"/>
      <c r="O381" s="107"/>
      <c r="P381" s="107"/>
      <c r="Q381" s="107"/>
      <c r="R381" s="107"/>
      <c r="S381" s="101"/>
      <c r="T381" s="107"/>
      <c r="U381" s="107"/>
      <c r="V381" s="107"/>
      <c r="W381" s="107"/>
      <c r="X381" s="107"/>
      <c r="Y381" s="107"/>
      <c r="Z381" s="107"/>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13"/>
      <c r="BK381" s="213"/>
    </row>
    <row r="382" spans="1:63" ht="12.75" hidden="1" customHeight="1" outlineLevel="1">
      <c r="A382" s="9"/>
      <c r="B382" s="46"/>
      <c r="C382" s="130">
        <f>Asset17</f>
        <v>0</v>
      </c>
      <c r="D382" s="9"/>
      <c r="E382" s="9"/>
      <c r="F382" s="9"/>
      <c r="G382" s="196">
        <f>Input!M23</f>
        <v>0</v>
      </c>
      <c r="H382" s="121"/>
      <c r="I382" s="121"/>
      <c r="J382" s="121"/>
      <c r="K382" s="121"/>
      <c r="L382" s="121"/>
      <c r="M382" s="107"/>
      <c r="N382" s="107"/>
      <c r="O382" s="107"/>
      <c r="P382" s="107"/>
      <c r="Q382" s="107"/>
      <c r="R382" s="107"/>
      <c r="S382" s="101"/>
      <c r="T382" s="107"/>
      <c r="U382" s="107"/>
      <c r="V382" s="107"/>
      <c r="W382" s="107"/>
      <c r="X382" s="107"/>
      <c r="Y382" s="107"/>
      <c r="Z382" s="107"/>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13"/>
      <c r="BK382" s="213"/>
    </row>
    <row r="383" spans="1:63" ht="12.75" hidden="1" customHeight="1" outlineLevel="1">
      <c r="A383" s="9"/>
      <c r="B383" s="46"/>
      <c r="C383" s="130">
        <f>Asset18</f>
        <v>0</v>
      </c>
      <c r="D383" s="9"/>
      <c r="E383" s="9"/>
      <c r="F383" s="9"/>
      <c r="G383" s="196">
        <f>Input!M24</f>
        <v>0</v>
      </c>
      <c r="H383" s="121"/>
      <c r="I383" s="121"/>
      <c r="J383" s="121"/>
      <c r="K383" s="121"/>
      <c r="L383" s="121"/>
      <c r="M383" s="107"/>
      <c r="N383" s="107"/>
      <c r="O383" s="107"/>
      <c r="P383" s="107"/>
      <c r="Q383" s="107"/>
      <c r="R383" s="107"/>
      <c r="S383" s="101"/>
      <c r="T383" s="107"/>
      <c r="U383" s="107"/>
      <c r="V383" s="107"/>
      <c r="W383" s="107"/>
      <c r="X383" s="107"/>
      <c r="Y383" s="107"/>
      <c r="Z383" s="107"/>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13"/>
      <c r="BK383" s="213"/>
    </row>
    <row r="384" spans="1:63" ht="12.75" hidden="1" customHeight="1" outlineLevel="1">
      <c r="A384" s="9"/>
      <c r="B384" s="46"/>
      <c r="C384" s="130">
        <f>Asset19</f>
        <v>0</v>
      </c>
      <c r="D384" s="9"/>
      <c r="E384" s="9"/>
      <c r="F384" s="9"/>
      <c r="G384" s="196">
        <f>Input!M25</f>
        <v>0</v>
      </c>
      <c r="H384" s="121"/>
      <c r="I384" s="121"/>
      <c r="J384" s="121"/>
      <c r="K384" s="121"/>
      <c r="L384" s="121"/>
      <c r="M384" s="107"/>
      <c r="N384" s="107"/>
      <c r="O384" s="107"/>
      <c r="P384" s="107"/>
      <c r="Q384" s="107"/>
      <c r="R384" s="107"/>
      <c r="S384" s="101"/>
      <c r="T384" s="107"/>
      <c r="U384" s="107"/>
      <c r="V384" s="107"/>
      <c r="W384" s="107"/>
      <c r="X384" s="107"/>
      <c r="Y384" s="107"/>
      <c r="Z384" s="107"/>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13"/>
      <c r="BK384" s="213"/>
    </row>
    <row r="385" spans="1:63" ht="12.75" hidden="1" customHeight="1" outlineLevel="1">
      <c r="A385" s="9"/>
      <c r="B385" s="46"/>
      <c r="C385" s="130">
        <f>Asset20</f>
        <v>0</v>
      </c>
      <c r="D385" s="9"/>
      <c r="E385" s="9"/>
      <c r="F385" s="9"/>
      <c r="G385" s="196">
        <f>Input!M26</f>
        <v>0</v>
      </c>
      <c r="H385" s="121"/>
      <c r="I385" s="121"/>
      <c r="J385" s="121"/>
      <c r="K385" s="121"/>
      <c r="L385" s="121"/>
      <c r="M385" s="107"/>
      <c r="N385" s="107"/>
      <c r="O385" s="107"/>
      <c r="P385" s="107"/>
      <c r="Q385" s="107"/>
      <c r="R385" s="107"/>
      <c r="S385" s="101"/>
      <c r="T385" s="107"/>
      <c r="U385" s="107"/>
      <c r="V385" s="107"/>
      <c r="W385" s="107"/>
      <c r="X385" s="107"/>
      <c r="Y385" s="107"/>
      <c r="Z385" s="107"/>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13"/>
      <c r="BK385" s="213"/>
    </row>
    <row r="386" spans="1:63" ht="12.75" hidden="1" customHeight="1" outlineLevel="1">
      <c r="A386" s="9"/>
      <c r="B386" s="46"/>
      <c r="C386" s="130">
        <f>Asset21</f>
        <v>0</v>
      </c>
      <c r="D386" s="9"/>
      <c r="E386" s="9"/>
      <c r="F386" s="9"/>
      <c r="G386" s="196">
        <f>Input!M27</f>
        <v>0</v>
      </c>
      <c r="H386" s="121"/>
      <c r="I386" s="121"/>
      <c r="J386" s="121"/>
      <c r="K386" s="121"/>
      <c r="L386" s="121"/>
      <c r="M386" s="107"/>
      <c r="N386" s="107"/>
      <c r="O386" s="107"/>
      <c r="P386" s="107"/>
      <c r="Q386" s="107"/>
      <c r="R386" s="107"/>
      <c r="S386" s="101"/>
      <c r="T386" s="107"/>
      <c r="U386" s="107"/>
      <c r="V386" s="107"/>
      <c r="W386" s="107"/>
      <c r="X386" s="107"/>
      <c r="Y386" s="107"/>
      <c r="Z386" s="107"/>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13"/>
      <c r="BK386" s="213"/>
    </row>
    <row r="387" spans="1:63" ht="12.75" hidden="1" customHeight="1" outlineLevel="1">
      <c r="A387" s="9"/>
      <c r="B387" s="46"/>
      <c r="C387" s="130">
        <f>Asset22</f>
        <v>0</v>
      </c>
      <c r="D387" s="9"/>
      <c r="E387" s="9"/>
      <c r="F387" s="9"/>
      <c r="G387" s="196">
        <f>Input!M28</f>
        <v>0</v>
      </c>
      <c r="H387" s="121"/>
      <c r="I387" s="121"/>
      <c r="J387" s="121"/>
      <c r="K387" s="121"/>
      <c r="L387" s="121"/>
      <c r="M387" s="107"/>
      <c r="N387" s="107"/>
      <c r="O387" s="107"/>
      <c r="P387" s="107"/>
      <c r="Q387" s="107"/>
      <c r="R387" s="107"/>
      <c r="S387" s="101"/>
      <c r="T387" s="107"/>
      <c r="U387" s="107"/>
      <c r="V387" s="107"/>
      <c r="W387" s="107"/>
      <c r="X387" s="107"/>
      <c r="Y387" s="107"/>
      <c r="Z387" s="107"/>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13"/>
      <c r="BK387" s="213"/>
    </row>
    <row r="388" spans="1:63" ht="12.75" hidden="1" customHeight="1" outlineLevel="1">
      <c r="A388" s="9"/>
      <c r="B388" s="46"/>
      <c r="C388" s="130">
        <f>Asset23</f>
        <v>0</v>
      </c>
      <c r="D388" s="9"/>
      <c r="E388" s="9"/>
      <c r="F388" s="9"/>
      <c r="G388" s="196">
        <f>Input!M29</f>
        <v>0</v>
      </c>
      <c r="H388" s="121"/>
      <c r="I388" s="121"/>
      <c r="J388" s="121"/>
      <c r="K388" s="121"/>
      <c r="L388" s="121"/>
      <c r="M388" s="107"/>
      <c r="N388" s="107"/>
      <c r="O388" s="107"/>
      <c r="P388" s="107"/>
      <c r="Q388" s="107"/>
      <c r="R388" s="107"/>
      <c r="S388" s="101"/>
      <c r="T388" s="107"/>
      <c r="U388" s="107"/>
      <c r="V388" s="107"/>
      <c r="W388" s="107"/>
      <c r="X388" s="107"/>
      <c r="Y388" s="107"/>
      <c r="Z388" s="107"/>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13"/>
      <c r="BK388" s="213"/>
    </row>
    <row r="389" spans="1:63" ht="12.75" hidden="1" customHeight="1" outlineLevel="1">
      <c r="A389" s="9"/>
      <c r="B389" s="46"/>
      <c r="C389" s="130">
        <f>Asset24</f>
        <v>0</v>
      </c>
      <c r="D389" s="9"/>
      <c r="E389" s="9"/>
      <c r="F389" s="9"/>
      <c r="G389" s="196">
        <f>Input!M30</f>
        <v>0</v>
      </c>
      <c r="H389" s="121"/>
      <c r="I389" s="121"/>
      <c r="J389" s="121"/>
      <c r="K389" s="121"/>
      <c r="L389" s="121"/>
      <c r="M389" s="107"/>
      <c r="N389" s="107"/>
      <c r="O389" s="107"/>
      <c r="P389" s="107"/>
      <c r="Q389" s="107"/>
      <c r="R389" s="107"/>
      <c r="S389" s="101"/>
      <c r="T389" s="107"/>
      <c r="U389" s="107"/>
      <c r="V389" s="107"/>
      <c r="W389" s="107"/>
      <c r="X389" s="107"/>
      <c r="Y389" s="107"/>
      <c r="Z389" s="107"/>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13"/>
      <c r="BK389" s="213"/>
    </row>
    <row r="390" spans="1:63" ht="12.75" hidden="1" customHeight="1" outlineLevel="1">
      <c r="A390" s="9"/>
      <c r="B390" s="46"/>
      <c r="C390" s="130">
        <f>Asset25</f>
        <v>0</v>
      </c>
      <c r="D390" s="9"/>
      <c r="E390" s="9"/>
      <c r="F390" s="9"/>
      <c r="G390" s="196">
        <f>Input!M31</f>
        <v>0</v>
      </c>
      <c r="H390" s="121"/>
      <c r="I390" s="121"/>
      <c r="J390" s="121"/>
      <c r="K390" s="121"/>
      <c r="L390" s="121"/>
      <c r="M390" s="107"/>
      <c r="N390" s="107"/>
      <c r="O390" s="107"/>
      <c r="P390" s="107"/>
      <c r="Q390" s="107"/>
      <c r="R390" s="107"/>
      <c r="S390" s="101"/>
      <c r="T390" s="107"/>
      <c r="U390" s="107"/>
      <c r="V390" s="107"/>
      <c r="W390" s="107"/>
      <c r="X390" s="107"/>
      <c r="Y390" s="107"/>
      <c r="Z390" s="107"/>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13"/>
      <c r="BK390" s="213"/>
    </row>
    <row r="391" spans="1:63" ht="12.75" hidden="1" customHeight="1" outlineLevel="1">
      <c r="A391" s="9"/>
      <c r="B391" s="46"/>
      <c r="C391" s="130">
        <f>Asset26</f>
        <v>0</v>
      </c>
      <c r="D391" s="9"/>
      <c r="E391" s="9"/>
      <c r="F391" s="9"/>
      <c r="G391" s="196">
        <f>Input!M32</f>
        <v>0</v>
      </c>
      <c r="H391" s="121"/>
      <c r="I391" s="121"/>
      <c r="J391" s="121"/>
      <c r="K391" s="121"/>
      <c r="L391" s="121"/>
      <c r="M391" s="107"/>
      <c r="N391" s="107"/>
      <c r="O391" s="107"/>
      <c r="P391" s="107"/>
      <c r="Q391" s="107"/>
      <c r="R391" s="107"/>
      <c r="S391" s="101"/>
      <c r="T391" s="107"/>
      <c r="U391" s="107"/>
      <c r="V391" s="107"/>
      <c r="W391" s="107"/>
      <c r="X391" s="107"/>
      <c r="Y391" s="107"/>
      <c r="Z391" s="107"/>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13"/>
      <c r="BK391" s="213"/>
    </row>
    <row r="392" spans="1:63" ht="12.75" hidden="1" customHeight="1" outlineLevel="1">
      <c r="A392" s="9"/>
      <c r="B392" s="46"/>
      <c r="C392" s="130">
        <f>Asset27</f>
        <v>0</v>
      </c>
      <c r="D392" s="9"/>
      <c r="E392" s="9"/>
      <c r="F392" s="9"/>
      <c r="G392" s="196">
        <f>Input!M33</f>
        <v>0</v>
      </c>
      <c r="H392" s="121"/>
      <c r="I392" s="121"/>
      <c r="J392" s="121"/>
      <c r="K392" s="121"/>
      <c r="L392" s="121"/>
      <c r="M392" s="107"/>
      <c r="N392" s="107"/>
      <c r="O392" s="107"/>
      <c r="P392" s="107"/>
      <c r="Q392" s="107"/>
      <c r="R392" s="107"/>
      <c r="S392" s="101"/>
      <c r="T392" s="107"/>
      <c r="U392" s="107"/>
      <c r="V392" s="107"/>
      <c r="W392" s="107"/>
      <c r="X392" s="107"/>
      <c r="Y392" s="107"/>
      <c r="Z392" s="107"/>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13"/>
      <c r="BK392" s="213"/>
    </row>
    <row r="393" spans="1:63" ht="12.75" hidden="1" customHeight="1" outlineLevel="1">
      <c r="A393" s="9"/>
      <c r="B393" s="46"/>
      <c r="C393" s="130">
        <f>Asset28</f>
        <v>0</v>
      </c>
      <c r="D393" s="9"/>
      <c r="E393" s="9"/>
      <c r="F393" s="9"/>
      <c r="G393" s="196">
        <f>Input!M34</f>
        <v>0</v>
      </c>
      <c r="H393" s="121"/>
      <c r="I393" s="121"/>
      <c r="J393" s="121"/>
      <c r="K393" s="121"/>
      <c r="L393" s="121"/>
      <c r="M393" s="107"/>
      <c r="N393" s="107"/>
      <c r="O393" s="107"/>
      <c r="P393" s="107"/>
      <c r="Q393" s="107"/>
      <c r="R393" s="107"/>
      <c r="S393" s="101"/>
      <c r="T393" s="107"/>
      <c r="U393" s="107"/>
      <c r="V393" s="107"/>
      <c r="W393" s="107"/>
      <c r="X393" s="107"/>
      <c r="Y393" s="107"/>
      <c r="Z393" s="107"/>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13"/>
      <c r="BK393" s="213"/>
    </row>
    <row r="394" spans="1:63" ht="12.75" hidden="1" customHeight="1" outlineLevel="1">
      <c r="A394" s="9"/>
      <c r="B394" s="46"/>
      <c r="C394" s="130">
        <f>Asset29</f>
        <v>0</v>
      </c>
      <c r="D394" s="9"/>
      <c r="E394" s="9"/>
      <c r="F394" s="9"/>
      <c r="G394" s="196">
        <f>Input!M35</f>
        <v>0</v>
      </c>
      <c r="H394" s="121"/>
      <c r="I394" s="121"/>
      <c r="J394" s="121"/>
      <c r="K394" s="121"/>
      <c r="L394" s="121"/>
      <c r="M394" s="107"/>
      <c r="N394" s="107"/>
      <c r="O394" s="107"/>
      <c r="P394" s="107"/>
      <c r="Q394" s="107"/>
      <c r="R394" s="107"/>
      <c r="S394" s="101"/>
      <c r="T394" s="107"/>
      <c r="U394" s="107"/>
      <c r="V394" s="107"/>
      <c r="W394" s="107"/>
      <c r="X394" s="107"/>
      <c r="Y394" s="107"/>
      <c r="Z394" s="107"/>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13"/>
      <c r="BK394" s="213"/>
    </row>
    <row r="395" spans="1:63" ht="12.75" hidden="1" customHeight="1" outlineLevel="1">
      <c r="A395" s="9"/>
      <c r="B395" s="46"/>
      <c r="C395" s="130">
        <f>Asset30</f>
        <v>0</v>
      </c>
      <c r="D395" s="9"/>
      <c r="E395" s="9"/>
      <c r="F395" s="9"/>
      <c r="G395" s="196">
        <f>Input!M36</f>
        <v>0</v>
      </c>
      <c r="H395" s="121"/>
      <c r="I395" s="121"/>
      <c r="J395" s="121"/>
      <c r="K395" s="121"/>
      <c r="L395" s="121"/>
      <c r="M395" s="107"/>
      <c r="N395" s="107"/>
      <c r="O395" s="107"/>
      <c r="P395" s="107"/>
      <c r="Q395" s="107"/>
      <c r="R395" s="107"/>
      <c r="S395" s="101"/>
      <c r="T395" s="107"/>
      <c r="U395" s="107"/>
      <c r="V395" s="107"/>
      <c r="W395" s="107"/>
      <c r="X395" s="107"/>
      <c r="Y395" s="107"/>
      <c r="Z395" s="107"/>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13"/>
      <c r="BK395" s="213"/>
    </row>
    <row r="396" spans="1:63" collapsed="1">
      <c r="A396" s="9"/>
      <c r="B396" s="46"/>
      <c r="C396" s="114"/>
      <c r="D396" s="9"/>
      <c r="E396" s="9"/>
      <c r="F396" s="28"/>
      <c r="G396" s="197"/>
      <c r="H396" s="121"/>
      <c r="I396" s="121"/>
      <c r="J396" s="121"/>
      <c r="K396" s="121"/>
      <c r="L396" s="121"/>
      <c r="M396" s="107"/>
      <c r="N396" s="107"/>
      <c r="O396" s="107"/>
      <c r="P396" s="107"/>
      <c r="Q396" s="107"/>
      <c r="R396" s="107"/>
      <c r="S396" s="107"/>
      <c r="T396" s="107"/>
      <c r="U396" s="107"/>
      <c r="V396" s="107"/>
      <c r="W396" s="107"/>
      <c r="X396" s="107"/>
      <c r="Y396" s="107"/>
      <c r="Z396" s="107"/>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13"/>
      <c r="BK396" s="213"/>
    </row>
    <row r="397" spans="1:63">
      <c r="A397" s="9"/>
      <c r="B397" s="90" t="s">
        <v>73</v>
      </c>
      <c r="C397" s="12"/>
      <c r="D397" s="9"/>
      <c r="E397" s="9"/>
      <c r="F397" s="9"/>
      <c r="G397" s="194">
        <f>SUM(G398:G427)</f>
        <v>-56.666342363283739</v>
      </c>
      <c r="H397" s="121"/>
      <c r="I397" s="121"/>
      <c r="J397" s="121"/>
      <c r="K397" s="121"/>
      <c r="L397" s="121"/>
      <c r="M397" s="107"/>
      <c r="N397" s="107"/>
      <c r="O397" s="107"/>
      <c r="P397" s="107"/>
      <c r="Q397" s="107"/>
      <c r="R397" s="107"/>
      <c r="S397" s="107"/>
      <c r="T397" s="107"/>
      <c r="U397" s="107"/>
      <c r="V397" s="107"/>
      <c r="W397" s="107"/>
      <c r="X397" s="107"/>
      <c r="Y397" s="107"/>
      <c r="Z397" s="107"/>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13"/>
      <c r="BK397" s="213"/>
    </row>
    <row r="398" spans="1:63" ht="12.75" hidden="1" customHeight="1" outlineLevel="1">
      <c r="A398" s="9"/>
      <c r="B398" s="46"/>
      <c r="C398" s="130" t="str">
        <f>Asset1</f>
        <v>Subtransmission</v>
      </c>
      <c r="D398" s="9"/>
      <c r="E398" s="9"/>
      <c r="F398" s="28"/>
      <c r="G398" s="196">
        <f>-Input!N7</f>
        <v>-8.560933643561853</v>
      </c>
      <c r="H398" s="121"/>
      <c r="I398" s="121"/>
      <c r="J398" s="121"/>
      <c r="K398" s="121"/>
      <c r="L398" s="121"/>
      <c r="M398" s="107"/>
      <c r="N398" s="107"/>
      <c r="O398" s="107"/>
      <c r="P398" s="107"/>
      <c r="Q398" s="107"/>
      <c r="R398" s="107"/>
      <c r="S398" s="107"/>
      <c r="T398" s="107"/>
      <c r="U398" s="107"/>
      <c r="V398" s="107"/>
      <c r="W398" s="107"/>
      <c r="X398" s="107"/>
      <c r="Y398" s="107"/>
      <c r="Z398" s="107"/>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13"/>
      <c r="BK398" s="213"/>
    </row>
    <row r="399" spans="1:63" ht="12.75" hidden="1" customHeight="1" outlineLevel="1">
      <c r="A399" s="9"/>
      <c r="B399" s="46"/>
      <c r="C399" s="130" t="str">
        <f>Asset2</f>
        <v>Distribution system assets</v>
      </c>
      <c r="D399" s="9"/>
      <c r="E399" s="9"/>
      <c r="F399" s="28"/>
      <c r="G399" s="196">
        <f>-Input!N8</f>
        <v>-30.506557915818007</v>
      </c>
      <c r="H399" s="121"/>
      <c r="I399" s="121"/>
      <c r="J399" s="121"/>
      <c r="K399" s="121"/>
      <c r="L399" s="121"/>
      <c r="M399" s="107"/>
      <c r="N399" s="107"/>
      <c r="O399" s="107"/>
      <c r="P399" s="107"/>
      <c r="Q399" s="107"/>
      <c r="R399" s="107"/>
      <c r="S399" s="107"/>
      <c r="T399" s="107"/>
      <c r="U399" s="107"/>
      <c r="V399" s="107"/>
      <c r="W399" s="107"/>
      <c r="X399" s="107"/>
      <c r="Y399" s="107"/>
      <c r="Z399" s="107"/>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13"/>
      <c r="BK399" s="213"/>
    </row>
    <row r="400" spans="1:63" ht="12.75" hidden="1" customHeight="1" outlineLevel="1">
      <c r="A400" s="9"/>
      <c r="B400" s="46"/>
      <c r="C400" s="130" t="str">
        <f>Asset3</f>
        <v>Standard metering</v>
      </c>
      <c r="D400" s="9"/>
      <c r="E400" s="9"/>
      <c r="F400" s="28"/>
      <c r="G400" s="196">
        <f>-Input!N9</f>
        <v>-3.1558842313843654</v>
      </c>
      <c r="H400" s="121"/>
      <c r="I400" s="121"/>
      <c r="J400" s="121"/>
      <c r="K400" s="121"/>
      <c r="L400" s="121"/>
      <c r="M400" s="107"/>
      <c r="N400" s="107"/>
      <c r="O400" s="107"/>
      <c r="P400" s="107"/>
      <c r="Q400" s="107"/>
      <c r="R400" s="107"/>
      <c r="S400" s="107"/>
      <c r="T400" s="107"/>
      <c r="U400" s="107"/>
      <c r="V400" s="107"/>
      <c r="W400" s="107"/>
      <c r="X400" s="107"/>
      <c r="Y400" s="107"/>
      <c r="Z400" s="107"/>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13"/>
      <c r="BK400" s="213"/>
    </row>
    <row r="401" spans="1:63" ht="12.75" hidden="1" customHeight="1" outlineLevel="1">
      <c r="A401" s="9"/>
      <c r="B401" s="46"/>
      <c r="C401" s="130" t="str">
        <f>Asset4</f>
        <v>Public lighting</v>
      </c>
      <c r="D401" s="9"/>
      <c r="E401" s="9"/>
      <c r="F401" s="28"/>
      <c r="G401" s="196">
        <f>-Input!N10</f>
        <v>-0.45422246060488719</v>
      </c>
      <c r="H401" s="121"/>
      <c r="I401" s="121"/>
      <c r="J401" s="121"/>
      <c r="K401" s="121"/>
      <c r="L401" s="121"/>
      <c r="M401" s="107"/>
      <c r="N401" s="107"/>
      <c r="O401" s="107"/>
      <c r="P401" s="107"/>
      <c r="Q401" s="107"/>
      <c r="R401" s="107"/>
      <c r="S401" s="107"/>
      <c r="T401" s="107"/>
      <c r="U401" s="107"/>
      <c r="V401" s="107"/>
      <c r="W401" s="107"/>
      <c r="X401" s="107"/>
      <c r="Y401" s="107"/>
      <c r="Z401" s="107"/>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13"/>
      <c r="BK401" s="213"/>
    </row>
    <row r="402" spans="1:63" ht="12.75" hidden="1" customHeight="1" outlineLevel="1">
      <c r="A402" s="9"/>
      <c r="B402" s="46"/>
      <c r="C402" s="130" t="str">
        <f>Asset5</f>
        <v>SCADA/Network control</v>
      </c>
      <c r="D402" s="9"/>
      <c r="E402" s="9"/>
      <c r="F402" s="28"/>
      <c r="G402" s="196">
        <f>-Input!N11</f>
        <v>-2.166063639665591</v>
      </c>
      <c r="H402" s="121"/>
      <c r="I402" s="121"/>
      <c r="J402" s="121"/>
      <c r="K402" s="121"/>
      <c r="L402" s="121"/>
      <c r="M402" s="107"/>
      <c r="N402" s="107"/>
      <c r="O402" s="107"/>
      <c r="P402" s="107"/>
      <c r="Q402" s="107"/>
      <c r="R402" s="107"/>
      <c r="S402" s="107"/>
      <c r="T402" s="107"/>
      <c r="U402" s="107"/>
      <c r="V402" s="107"/>
      <c r="W402" s="107"/>
      <c r="X402" s="107"/>
      <c r="Y402" s="107"/>
      <c r="Z402" s="107"/>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13"/>
      <c r="BK402" s="213"/>
    </row>
    <row r="403" spans="1:63" ht="12.75" hidden="1" customHeight="1" outlineLevel="1">
      <c r="A403" s="9"/>
      <c r="B403" s="46"/>
      <c r="C403" s="130" t="str">
        <f>Asset6</f>
        <v>Non-network general assets - IT</v>
      </c>
      <c r="D403" s="9"/>
      <c r="E403" s="9"/>
      <c r="F403" s="28"/>
      <c r="G403" s="196">
        <f>-Input!N12</f>
        <v>-10.503194478149721</v>
      </c>
      <c r="H403" s="121"/>
      <c r="I403" s="121"/>
      <c r="J403" s="121"/>
      <c r="K403" s="121"/>
      <c r="L403" s="121"/>
      <c r="M403" s="107"/>
      <c r="N403" s="107"/>
      <c r="O403" s="107"/>
      <c r="P403" s="107"/>
      <c r="Q403" s="107"/>
      <c r="R403" s="107"/>
      <c r="S403" s="107"/>
      <c r="T403" s="107"/>
      <c r="U403" s="107"/>
      <c r="V403" s="107"/>
      <c r="W403" s="107"/>
      <c r="X403" s="107"/>
      <c r="Y403" s="107"/>
      <c r="Z403" s="107"/>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13"/>
      <c r="BK403" s="213"/>
    </row>
    <row r="404" spans="1:63" ht="12.75" hidden="1" customHeight="1" outlineLevel="1">
      <c r="A404" s="9"/>
      <c r="B404" s="46"/>
      <c r="C404" s="130" t="str">
        <f>Asset7</f>
        <v>Non-network general assets - Other</v>
      </c>
      <c r="D404" s="9"/>
      <c r="E404" s="9"/>
      <c r="F404" s="28"/>
      <c r="G404" s="196">
        <f>-Input!N13</f>
        <v>-1.3194859940993175</v>
      </c>
      <c r="H404" s="121"/>
      <c r="I404" s="121"/>
      <c r="J404" s="121"/>
      <c r="K404" s="121"/>
      <c r="L404" s="121"/>
      <c r="M404" s="107"/>
      <c r="N404" s="107"/>
      <c r="O404" s="107"/>
      <c r="P404" s="107"/>
      <c r="Q404" s="107"/>
      <c r="R404" s="107"/>
      <c r="S404" s="107"/>
      <c r="T404" s="107"/>
      <c r="U404" s="107"/>
      <c r="V404" s="107"/>
      <c r="W404" s="107"/>
      <c r="X404" s="107"/>
      <c r="Y404" s="107"/>
      <c r="Z404" s="107"/>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13"/>
      <c r="BK404" s="213"/>
    </row>
    <row r="405" spans="1:63" ht="12.75" hidden="1" customHeight="1" outlineLevel="1">
      <c r="A405" s="9"/>
      <c r="B405" s="46"/>
      <c r="C405" s="130" t="str">
        <f>Asset8</f>
        <v>VBRC</v>
      </c>
      <c r="D405" s="9"/>
      <c r="E405" s="9"/>
      <c r="F405" s="28"/>
      <c r="G405" s="196">
        <f>-Input!N14</f>
        <v>0</v>
      </c>
      <c r="H405" s="121"/>
      <c r="I405" s="121"/>
      <c r="J405" s="121"/>
      <c r="K405" s="121"/>
      <c r="L405" s="121"/>
      <c r="M405" s="107"/>
      <c r="N405" s="107"/>
      <c r="O405" s="107"/>
      <c r="P405" s="107"/>
      <c r="Q405" s="107"/>
      <c r="R405" s="107"/>
      <c r="S405" s="107"/>
      <c r="T405" s="107"/>
      <c r="U405" s="107"/>
      <c r="V405" s="107"/>
      <c r="W405" s="107"/>
      <c r="X405" s="107"/>
      <c r="Y405" s="107"/>
      <c r="Z405" s="107"/>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13"/>
      <c r="BK405" s="213"/>
    </row>
    <row r="406" spans="1:63" ht="12.75" hidden="1" customHeight="1" outlineLevel="1">
      <c r="A406" s="9"/>
      <c r="B406" s="46"/>
      <c r="C406" s="130" t="str">
        <f>Asset9</f>
        <v>Equity raising</v>
      </c>
      <c r="D406" s="9"/>
      <c r="E406" s="9"/>
      <c r="F406" s="28"/>
      <c r="G406" s="196">
        <f>-Input!N15</f>
        <v>0</v>
      </c>
      <c r="H406" s="121"/>
      <c r="I406" s="121"/>
      <c r="J406" s="121"/>
      <c r="K406" s="121"/>
      <c r="L406" s="121"/>
      <c r="M406" s="107"/>
      <c r="N406" s="107"/>
      <c r="O406" s="107"/>
      <c r="P406" s="107"/>
      <c r="Q406" s="107"/>
      <c r="R406" s="107"/>
      <c r="S406" s="107"/>
      <c r="T406" s="107"/>
      <c r="U406" s="107"/>
      <c r="V406" s="107"/>
      <c r="W406" s="107"/>
      <c r="X406" s="107"/>
      <c r="Y406" s="107"/>
      <c r="Z406" s="107"/>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13"/>
      <c r="BK406" s="213"/>
    </row>
    <row r="407" spans="1:63" ht="12.75" hidden="1" customHeight="1" outlineLevel="1">
      <c r="A407" s="9"/>
      <c r="B407" s="46"/>
      <c r="C407" s="130">
        <f>Asset10</f>
        <v>0</v>
      </c>
      <c r="D407" s="9"/>
      <c r="E407" s="9"/>
      <c r="F407" s="28"/>
      <c r="G407" s="196">
        <f>-Input!N16</f>
        <v>0</v>
      </c>
      <c r="H407" s="121"/>
      <c r="I407" s="121"/>
      <c r="J407" s="121"/>
      <c r="K407" s="121"/>
      <c r="L407" s="121"/>
      <c r="M407" s="107"/>
      <c r="N407" s="107"/>
      <c r="O407" s="107"/>
      <c r="P407" s="107"/>
      <c r="Q407" s="107"/>
      <c r="R407" s="107"/>
      <c r="S407" s="107"/>
      <c r="T407" s="107"/>
      <c r="U407" s="107"/>
      <c r="V407" s="107"/>
      <c r="W407" s="107"/>
      <c r="X407" s="107"/>
      <c r="Y407" s="107"/>
      <c r="Z407" s="107"/>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13"/>
      <c r="BK407" s="213"/>
    </row>
    <row r="408" spans="1:63" ht="12.75" hidden="1" customHeight="1" outlineLevel="1">
      <c r="A408" s="9"/>
      <c r="B408" s="46"/>
      <c r="C408" s="130">
        <f>Asset11</f>
        <v>0</v>
      </c>
      <c r="D408" s="9"/>
      <c r="E408" s="9"/>
      <c r="F408" s="28"/>
      <c r="G408" s="196">
        <f>-Input!N17</f>
        <v>0</v>
      </c>
      <c r="H408" s="121"/>
      <c r="I408" s="121"/>
      <c r="J408" s="121"/>
      <c r="K408" s="121"/>
      <c r="L408" s="121"/>
      <c r="M408" s="107"/>
      <c r="N408" s="107"/>
      <c r="O408" s="107"/>
      <c r="P408" s="107"/>
      <c r="Q408" s="107"/>
      <c r="R408" s="107"/>
      <c r="S408" s="107"/>
      <c r="T408" s="107"/>
      <c r="U408" s="107"/>
      <c r="V408" s="107"/>
      <c r="W408" s="107"/>
      <c r="X408" s="107"/>
      <c r="Y408" s="107"/>
      <c r="Z408" s="107"/>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13"/>
      <c r="BK408" s="213"/>
    </row>
    <row r="409" spans="1:63" ht="12.75" hidden="1" customHeight="1" outlineLevel="1">
      <c r="A409" s="9"/>
      <c r="B409" s="46"/>
      <c r="C409" s="130">
        <f>Asset12</f>
        <v>0</v>
      </c>
      <c r="D409" s="9"/>
      <c r="E409" s="9"/>
      <c r="F409" s="28"/>
      <c r="G409" s="196">
        <f>-Input!N18</f>
        <v>0</v>
      </c>
      <c r="H409" s="121"/>
      <c r="I409" s="121"/>
      <c r="J409" s="121"/>
      <c r="K409" s="121"/>
      <c r="L409" s="121"/>
      <c r="M409" s="107"/>
      <c r="N409" s="107"/>
      <c r="O409" s="107"/>
      <c r="P409" s="107"/>
      <c r="Q409" s="107"/>
      <c r="R409" s="107"/>
      <c r="S409" s="107"/>
      <c r="T409" s="107"/>
      <c r="U409" s="107"/>
      <c r="V409" s="107"/>
      <c r="W409" s="107"/>
      <c r="X409" s="107"/>
      <c r="Y409" s="107"/>
      <c r="Z409" s="107"/>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13"/>
      <c r="BK409" s="213"/>
    </row>
    <row r="410" spans="1:63" ht="12.75" hidden="1" customHeight="1" outlineLevel="1">
      <c r="A410" s="9"/>
      <c r="B410" s="46"/>
      <c r="C410" s="130">
        <f>Asset13</f>
        <v>0</v>
      </c>
      <c r="D410" s="9"/>
      <c r="E410" s="9"/>
      <c r="F410" s="28"/>
      <c r="G410" s="196">
        <f>-Input!N19</f>
        <v>0</v>
      </c>
      <c r="H410" s="121"/>
      <c r="I410" s="121"/>
      <c r="J410" s="121"/>
      <c r="K410" s="121"/>
      <c r="L410" s="121"/>
      <c r="M410" s="107"/>
      <c r="N410" s="107"/>
      <c r="O410" s="107"/>
      <c r="P410" s="107"/>
      <c r="Q410" s="107"/>
      <c r="R410" s="107"/>
      <c r="S410" s="107"/>
      <c r="T410" s="107"/>
      <c r="U410" s="107"/>
      <c r="V410" s="107"/>
      <c r="W410" s="107"/>
      <c r="X410" s="107"/>
      <c r="Y410" s="107"/>
      <c r="Z410" s="107"/>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13"/>
      <c r="BK410" s="213"/>
    </row>
    <row r="411" spans="1:63" ht="12.75" hidden="1" customHeight="1" outlineLevel="1">
      <c r="A411" s="9"/>
      <c r="B411" s="46"/>
      <c r="C411" s="130">
        <f>Asset14</f>
        <v>0</v>
      </c>
      <c r="D411" s="9"/>
      <c r="E411" s="9"/>
      <c r="F411" s="28"/>
      <c r="G411" s="196">
        <f>-Input!N20</f>
        <v>0</v>
      </c>
      <c r="H411" s="121"/>
      <c r="I411" s="121"/>
      <c r="J411" s="121"/>
      <c r="K411" s="121"/>
      <c r="L411" s="121"/>
      <c r="M411" s="107"/>
      <c r="N411" s="107"/>
      <c r="O411" s="107"/>
      <c r="P411" s="107"/>
      <c r="Q411" s="107"/>
      <c r="R411" s="107"/>
      <c r="S411" s="107"/>
      <c r="T411" s="107"/>
      <c r="U411" s="107"/>
      <c r="V411" s="107"/>
      <c r="W411" s="107"/>
      <c r="X411" s="107"/>
      <c r="Y411" s="107"/>
      <c r="Z411" s="107"/>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c r="BI411" s="209"/>
      <c r="BJ411" s="213"/>
      <c r="BK411" s="213"/>
    </row>
    <row r="412" spans="1:63" ht="12.75" hidden="1" customHeight="1" outlineLevel="1">
      <c r="A412" s="9"/>
      <c r="B412" s="46"/>
      <c r="C412" s="130">
        <f>Asset15</f>
        <v>0</v>
      </c>
      <c r="D412" s="9"/>
      <c r="E412" s="9"/>
      <c r="F412" s="28"/>
      <c r="G412" s="196">
        <f>-Input!N21</f>
        <v>0</v>
      </c>
      <c r="H412" s="121"/>
      <c r="I412" s="121"/>
      <c r="J412" s="121"/>
      <c r="K412" s="121"/>
      <c r="L412" s="121"/>
      <c r="M412" s="107"/>
      <c r="N412" s="107"/>
      <c r="O412" s="107"/>
      <c r="P412" s="107"/>
      <c r="Q412" s="107"/>
      <c r="R412" s="107"/>
      <c r="S412" s="107"/>
      <c r="T412" s="107"/>
      <c r="U412" s="107"/>
      <c r="V412" s="107"/>
      <c r="W412" s="107"/>
      <c r="X412" s="107"/>
      <c r="Y412" s="107"/>
      <c r="Z412" s="107"/>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c r="BI412" s="209"/>
      <c r="BJ412" s="213"/>
      <c r="BK412" s="213"/>
    </row>
    <row r="413" spans="1:63" ht="12.75" hidden="1" customHeight="1" outlineLevel="1">
      <c r="A413" s="9"/>
      <c r="B413" s="46"/>
      <c r="C413" s="130">
        <f>Asset16</f>
        <v>0</v>
      </c>
      <c r="D413" s="9"/>
      <c r="E413" s="9"/>
      <c r="F413" s="28"/>
      <c r="G413" s="196">
        <f>-Input!N22</f>
        <v>0</v>
      </c>
      <c r="H413" s="121"/>
      <c r="I413" s="121"/>
      <c r="J413" s="121"/>
      <c r="K413" s="121"/>
      <c r="L413" s="121"/>
      <c r="M413" s="107"/>
      <c r="N413" s="107"/>
      <c r="O413" s="107"/>
      <c r="P413" s="107"/>
      <c r="Q413" s="107"/>
      <c r="R413" s="107"/>
      <c r="S413" s="107"/>
      <c r="T413" s="107"/>
      <c r="U413" s="107"/>
      <c r="V413" s="107"/>
      <c r="W413" s="107"/>
      <c r="X413" s="107"/>
      <c r="Y413" s="107"/>
      <c r="Z413" s="107"/>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c r="BI413" s="209"/>
      <c r="BJ413" s="213"/>
      <c r="BK413" s="213"/>
    </row>
    <row r="414" spans="1:63" ht="12.75" hidden="1" customHeight="1" outlineLevel="1">
      <c r="A414" s="9"/>
      <c r="B414" s="46"/>
      <c r="C414" s="130">
        <f>Asset17</f>
        <v>0</v>
      </c>
      <c r="D414" s="9"/>
      <c r="E414" s="9"/>
      <c r="F414" s="28"/>
      <c r="G414" s="196">
        <f>-Input!N23</f>
        <v>0</v>
      </c>
      <c r="H414" s="121"/>
      <c r="I414" s="121"/>
      <c r="J414" s="121"/>
      <c r="K414" s="121"/>
      <c r="L414" s="121"/>
      <c r="M414" s="107"/>
      <c r="N414" s="107"/>
      <c r="O414" s="107"/>
      <c r="P414" s="107"/>
      <c r="Q414" s="107"/>
      <c r="R414" s="107"/>
      <c r="S414" s="107"/>
      <c r="T414" s="107"/>
      <c r="U414" s="107"/>
      <c r="V414" s="107"/>
      <c r="W414" s="107"/>
      <c r="X414" s="107"/>
      <c r="Y414" s="107"/>
      <c r="Z414" s="107"/>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c r="BI414" s="209"/>
      <c r="BJ414" s="213"/>
      <c r="BK414" s="213"/>
    </row>
    <row r="415" spans="1:63" ht="12.75" hidden="1" customHeight="1" outlineLevel="1">
      <c r="A415" s="9"/>
      <c r="B415" s="46"/>
      <c r="C415" s="130">
        <f>Asset18</f>
        <v>0</v>
      </c>
      <c r="D415" s="9"/>
      <c r="E415" s="9"/>
      <c r="F415" s="28"/>
      <c r="G415" s="196">
        <f>-Input!N24</f>
        <v>0</v>
      </c>
      <c r="H415" s="121"/>
      <c r="I415" s="121"/>
      <c r="J415" s="121"/>
      <c r="K415" s="121"/>
      <c r="L415" s="121"/>
      <c r="M415" s="107"/>
      <c r="N415" s="107"/>
      <c r="O415" s="107"/>
      <c r="P415" s="107"/>
      <c r="Q415" s="107"/>
      <c r="R415" s="107"/>
      <c r="S415" s="107"/>
      <c r="T415" s="107"/>
      <c r="U415" s="107"/>
      <c r="V415" s="107"/>
      <c r="W415" s="107"/>
      <c r="X415" s="107"/>
      <c r="Y415" s="107"/>
      <c r="Z415" s="107"/>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13"/>
      <c r="BK415" s="213"/>
    </row>
    <row r="416" spans="1:63" ht="12.75" hidden="1" customHeight="1" outlineLevel="1">
      <c r="A416" s="9"/>
      <c r="B416" s="46"/>
      <c r="C416" s="130">
        <f>Asset19</f>
        <v>0</v>
      </c>
      <c r="D416" s="9"/>
      <c r="E416" s="9"/>
      <c r="F416" s="28"/>
      <c r="G416" s="196">
        <f>-Input!N25</f>
        <v>0</v>
      </c>
      <c r="H416" s="121"/>
      <c r="I416" s="121"/>
      <c r="J416" s="121"/>
      <c r="K416" s="121"/>
      <c r="L416" s="121"/>
      <c r="M416" s="107"/>
      <c r="N416" s="107"/>
      <c r="O416" s="107"/>
      <c r="P416" s="107"/>
      <c r="Q416" s="107"/>
      <c r="R416" s="107"/>
      <c r="S416" s="107"/>
      <c r="T416" s="107"/>
      <c r="U416" s="107"/>
      <c r="V416" s="107"/>
      <c r="W416" s="107"/>
      <c r="X416" s="107"/>
      <c r="Y416" s="107"/>
      <c r="Z416" s="107"/>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13"/>
      <c r="BK416" s="213"/>
    </row>
    <row r="417" spans="1:63" ht="12.75" hidden="1" customHeight="1" outlineLevel="1">
      <c r="A417" s="9"/>
      <c r="B417" s="46"/>
      <c r="C417" s="130">
        <f>Asset20</f>
        <v>0</v>
      </c>
      <c r="D417" s="9"/>
      <c r="E417" s="9"/>
      <c r="F417" s="28"/>
      <c r="G417" s="196">
        <f>-Input!N26</f>
        <v>0</v>
      </c>
      <c r="H417" s="121"/>
      <c r="I417" s="121"/>
      <c r="J417" s="121"/>
      <c r="K417" s="121"/>
      <c r="L417" s="121"/>
      <c r="M417" s="107"/>
      <c r="N417" s="107"/>
      <c r="O417" s="107"/>
      <c r="P417" s="107"/>
      <c r="Q417" s="107"/>
      <c r="R417" s="107"/>
      <c r="S417" s="107"/>
      <c r="T417" s="107"/>
      <c r="U417" s="107"/>
      <c r="V417" s="107"/>
      <c r="W417" s="107"/>
      <c r="X417" s="107"/>
      <c r="Y417" s="107"/>
      <c r="Z417" s="107"/>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13"/>
      <c r="BK417" s="213"/>
    </row>
    <row r="418" spans="1:63" ht="12.75" hidden="1" customHeight="1" outlineLevel="1">
      <c r="A418" s="9"/>
      <c r="B418" s="46"/>
      <c r="C418" s="130">
        <f>Asset21</f>
        <v>0</v>
      </c>
      <c r="D418" s="9"/>
      <c r="E418" s="9"/>
      <c r="F418" s="28"/>
      <c r="G418" s="196">
        <f>-Input!N27</f>
        <v>0</v>
      </c>
      <c r="H418" s="121"/>
      <c r="I418" s="121"/>
      <c r="J418" s="121"/>
      <c r="K418" s="121"/>
      <c r="L418" s="121"/>
      <c r="M418" s="107"/>
      <c r="N418" s="107"/>
      <c r="O418" s="107"/>
      <c r="P418" s="107"/>
      <c r="Q418" s="107"/>
      <c r="R418" s="107"/>
      <c r="S418" s="107"/>
      <c r="T418" s="107"/>
      <c r="U418" s="107"/>
      <c r="V418" s="107"/>
      <c r="W418" s="107"/>
      <c r="X418" s="107"/>
      <c r="Y418" s="107"/>
      <c r="Z418" s="107"/>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13"/>
      <c r="BK418" s="213"/>
    </row>
    <row r="419" spans="1:63" ht="12.75" hidden="1" customHeight="1" outlineLevel="1">
      <c r="A419" s="9"/>
      <c r="B419" s="46"/>
      <c r="C419" s="130">
        <f>Asset22</f>
        <v>0</v>
      </c>
      <c r="D419" s="9"/>
      <c r="E419" s="9"/>
      <c r="F419" s="28"/>
      <c r="G419" s="196">
        <f>-Input!N28</f>
        <v>0</v>
      </c>
      <c r="H419" s="121"/>
      <c r="I419" s="121"/>
      <c r="J419" s="121"/>
      <c r="K419" s="121"/>
      <c r="L419" s="121"/>
      <c r="M419" s="107"/>
      <c r="N419" s="107"/>
      <c r="O419" s="107"/>
      <c r="P419" s="107"/>
      <c r="Q419" s="107"/>
      <c r="R419" s="107"/>
      <c r="S419" s="107"/>
      <c r="T419" s="107"/>
      <c r="U419" s="107"/>
      <c r="V419" s="107"/>
      <c r="W419" s="107"/>
      <c r="X419" s="107"/>
      <c r="Y419" s="107"/>
      <c r="Z419" s="107"/>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13"/>
      <c r="BK419" s="213"/>
    </row>
    <row r="420" spans="1:63" ht="12.75" hidden="1" customHeight="1" outlineLevel="1">
      <c r="A420" s="9"/>
      <c r="B420" s="46"/>
      <c r="C420" s="130">
        <f>Asset23</f>
        <v>0</v>
      </c>
      <c r="D420" s="9"/>
      <c r="E420" s="9"/>
      <c r="F420" s="28"/>
      <c r="G420" s="196">
        <f>-Input!N29</f>
        <v>0</v>
      </c>
      <c r="H420" s="121"/>
      <c r="I420" s="121"/>
      <c r="J420" s="121"/>
      <c r="K420" s="121"/>
      <c r="L420" s="121"/>
      <c r="M420" s="107"/>
      <c r="N420" s="107"/>
      <c r="O420" s="107"/>
      <c r="P420" s="107"/>
      <c r="Q420" s="107"/>
      <c r="R420" s="107"/>
      <c r="S420" s="107"/>
      <c r="T420" s="107"/>
      <c r="U420" s="107"/>
      <c r="V420" s="107"/>
      <c r="W420" s="107"/>
      <c r="X420" s="107"/>
      <c r="Y420" s="107"/>
      <c r="Z420" s="107"/>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13"/>
      <c r="BK420" s="213"/>
    </row>
    <row r="421" spans="1:63" ht="12.75" hidden="1" customHeight="1" outlineLevel="1">
      <c r="A421" s="9"/>
      <c r="B421" s="46"/>
      <c r="C421" s="130">
        <f>Asset24</f>
        <v>0</v>
      </c>
      <c r="D421" s="9"/>
      <c r="E421" s="9"/>
      <c r="F421" s="28"/>
      <c r="G421" s="196">
        <f>-Input!N30</f>
        <v>0</v>
      </c>
      <c r="H421" s="121"/>
      <c r="I421" s="121"/>
      <c r="J421" s="121"/>
      <c r="K421" s="121"/>
      <c r="L421" s="121"/>
      <c r="M421" s="107"/>
      <c r="N421" s="107"/>
      <c r="O421" s="107"/>
      <c r="P421" s="107"/>
      <c r="Q421" s="107"/>
      <c r="R421" s="107"/>
      <c r="S421" s="107"/>
      <c r="T421" s="107"/>
      <c r="U421" s="107"/>
      <c r="V421" s="107"/>
      <c r="W421" s="107"/>
      <c r="X421" s="107"/>
      <c r="Y421" s="107"/>
      <c r="Z421" s="107"/>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13"/>
      <c r="BK421" s="213"/>
    </row>
    <row r="422" spans="1:63" ht="12.75" hidden="1" customHeight="1" outlineLevel="1">
      <c r="A422" s="9"/>
      <c r="B422" s="46"/>
      <c r="C422" s="130">
        <f>Asset25</f>
        <v>0</v>
      </c>
      <c r="D422" s="9"/>
      <c r="E422" s="9"/>
      <c r="F422" s="28"/>
      <c r="G422" s="196">
        <f>-Input!N31</f>
        <v>0</v>
      </c>
      <c r="H422" s="121"/>
      <c r="I422" s="121"/>
      <c r="J422" s="121"/>
      <c r="K422" s="121"/>
      <c r="L422" s="121"/>
      <c r="M422" s="107"/>
      <c r="N422" s="107"/>
      <c r="O422" s="107"/>
      <c r="P422" s="107"/>
      <c r="Q422" s="107"/>
      <c r="R422" s="107"/>
      <c r="S422" s="107"/>
      <c r="T422" s="107"/>
      <c r="U422" s="107"/>
      <c r="V422" s="107"/>
      <c r="W422" s="107"/>
      <c r="X422" s="107"/>
      <c r="Y422" s="107"/>
      <c r="Z422" s="107"/>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13"/>
      <c r="BK422" s="213"/>
    </row>
    <row r="423" spans="1:63" ht="12.75" hidden="1" customHeight="1" outlineLevel="1">
      <c r="A423" s="9"/>
      <c r="B423" s="46"/>
      <c r="C423" s="130">
        <f>Asset26</f>
        <v>0</v>
      </c>
      <c r="D423" s="9"/>
      <c r="E423" s="9"/>
      <c r="F423" s="28"/>
      <c r="G423" s="196">
        <f>-Input!N32</f>
        <v>0</v>
      </c>
      <c r="H423" s="121"/>
      <c r="I423" s="121"/>
      <c r="J423" s="121"/>
      <c r="K423" s="121"/>
      <c r="L423" s="121"/>
      <c r="M423" s="107"/>
      <c r="N423" s="107"/>
      <c r="O423" s="107"/>
      <c r="P423" s="107"/>
      <c r="Q423" s="107"/>
      <c r="R423" s="107"/>
      <c r="S423" s="107"/>
      <c r="T423" s="107"/>
      <c r="U423" s="107"/>
      <c r="V423" s="107"/>
      <c r="W423" s="107"/>
      <c r="X423" s="107"/>
      <c r="Y423" s="107"/>
      <c r="Z423" s="107"/>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13"/>
      <c r="BK423" s="213"/>
    </row>
    <row r="424" spans="1:63" ht="12.75" hidden="1" customHeight="1" outlineLevel="1">
      <c r="A424" s="9"/>
      <c r="B424" s="46"/>
      <c r="C424" s="130">
        <f>Asset27</f>
        <v>0</v>
      </c>
      <c r="D424" s="9"/>
      <c r="E424" s="9"/>
      <c r="F424" s="28"/>
      <c r="G424" s="196">
        <f>-Input!N33</f>
        <v>0</v>
      </c>
      <c r="H424" s="121"/>
      <c r="I424" s="121"/>
      <c r="J424" s="121"/>
      <c r="K424" s="121"/>
      <c r="L424" s="121"/>
      <c r="M424" s="107"/>
      <c r="N424" s="107"/>
      <c r="O424" s="107"/>
      <c r="P424" s="107"/>
      <c r="Q424" s="107"/>
      <c r="R424" s="107"/>
      <c r="S424" s="107"/>
      <c r="T424" s="107"/>
      <c r="U424" s="107"/>
      <c r="V424" s="107"/>
      <c r="W424" s="107"/>
      <c r="X424" s="107"/>
      <c r="Y424" s="107"/>
      <c r="Z424" s="107"/>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13"/>
      <c r="BK424" s="213"/>
    </row>
    <row r="425" spans="1:63" ht="12.75" hidden="1" customHeight="1" outlineLevel="1">
      <c r="A425" s="9"/>
      <c r="B425" s="46"/>
      <c r="C425" s="130">
        <f>Asset28</f>
        <v>0</v>
      </c>
      <c r="D425" s="9"/>
      <c r="E425" s="9"/>
      <c r="F425" s="28"/>
      <c r="G425" s="196">
        <f>-Input!N34</f>
        <v>0</v>
      </c>
      <c r="H425" s="121"/>
      <c r="I425" s="121"/>
      <c r="J425" s="121"/>
      <c r="K425" s="121"/>
      <c r="L425" s="121"/>
      <c r="M425" s="107"/>
      <c r="N425" s="107"/>
      <c r="O425" s="107"/>
      <c r="P425" s="107"/>
      <c r="Q425" s="107"/>
      <c r="R425" s="107"/>
      <c r="S425" s="107"/>
      <c r="T425" s="107"/>
      <c r="U425" s="107"/>
      <c r="V425" s="107"/>
      <c r="W425" s="107"/>
      <c r="X425" s="107"/>
      <c r="Y425" s="107"/>
      <c r="Z425" s="107"/>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13"/>
      <c r="BK425" s="213"/>
    </row>
    <row r="426" spans="1:63" ht="12.75" hidden="1" customHeight="1" outlineLevel="1">
      <c r="A426" s="9"/>
      <c r="B426" s="46"/>
      <c r="C426" s="130">
        <f>Asset29</f>
        <v>0</v>
      </c>
      <c r="D426" s="9"/>
      <c r="E426" s="9"/>
      <c r="F426" s="28"/>
      <c r="G426" s="196">
        <f>-Input!N35</f>
        <v>0</v>
      </c>
      <c r="H426" s="121"/>
      <c r="I426" s="121"/>
      <c r="J426" s="121"/>
      <c r="K426" s="121"/>
      <c r="L426" s="121"/>
      <c r="M426" s="107"/>
      <c r="N426" s="107"/>
      <c r="O426" s="107"/>
      <c r="P426" s="107"/>
      <c r="Q426" s="107"/>
      <c r="R426" s="107"/>
      <c r="S426" s="107"/>
      <c r="T426" s="107"/>
      <c r="U426" s="107"/>
      <c r="V426" s="107"/>
      <c r="W426" s="107"/>
      <c r="X426" s="107"/>
      <c r="Y426" s="107"/>
      <c r="Z426" s="107"/>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13"/>
      <c r="BK426" s="213"/>
    </row>
    <row r="427" spans="1:63" ht="12.75" hidden="1" customHeight="1" outlineLevel="1">
      <c r="A427" s="9"/>
      <c r="B427" s="46"/>
      <c r="C427" s="130">
        <f>Asset30</f>
        <v>0</v>
      </c>
      <c r="D427" s="9"/>
      <c r="E427" s="9"/>
      <c r="F427" s="28"/>
      <c r="G427" s="196">
        <f>-Input!N36</f>
        <v>0</v>
      </c>
      <c r="H427" s="121"/>
      <c r="I427" s="121"/>
      <c r="J427" s="121"/>
      <c r="K427" s="121"/>
      <c r="L427" s="121"/>
      <c r="M427" s="107"/>
      <c r="N427" s="107"/>
      <c r="O427" s="107"/>
      <c r="P427" s="107"/>
      <c r="Q427" s="107"/>
      <c r="R427" s="107"/>
      <c r="S427" s="107"/>
      <c r="T427" s="107"/>
      <c r="U427" s="107"/>
      <c r="V427" s="107"/>
      <c r="W427" s="107"/>
      <c r="X427" s="107"/>
      <c r="Y427" s="107"/>
      <c r="Z427" s="107"/>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13"/>
      <c r="BK427" s="213"/>
    </row>
    <row r="428" spans="1:63" collapsed="1">
      <c r="A428" s="9"/>
      <c r="B428" s="46"/>
      <c r="C428" s="130"/>
      <c r="D428" s="9"/>
      <c r="E428" s="9"/>
      <c r="F428" s="28"/>
      <c r="G428" s="197"/>
      <c r="H428" s="121"/>
      <c r="I428" s="121"/>
      <c r="J428" s="121"/>
      <c r="K428" s="121"/>
      <c r="L428" s="121"/>
      <c r="M428" s="107"/>
      <c r="N428" s="107"/>
      <c r="O428" s="107"/>
      <c r="P428" s="107"/>
      <c r="Q428" s="107"/>
      <c r="R428" s="107"/>
      <c r="S428" s="107"/>
      <c r="T428" s="107"/>
      <c r="U428" s="107"/>
      <c r="V428" s="107"/>
      <c r="W428" s="107"/>
      <c r="X428" s="107"/>
      <c r="Y428" s="107"/>
      <c r="Z428" s="107"/>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c r="BI428" s="209"/>
      <c r="BJ428" s="213"/>
      <c r="BK428" s="213"/>
    </row>
    <row r="429" spans="1:63">
      <c r="A429" s="9"/>
      <c r="B429" s="46" t="s">
        <v>53</v>
      </c>
      <c r="C429" s="130"/>
      <c r="D429" s="9"/>
      <c r="E429" s="9"/>
      <c r="F429" s="142"/>
      <c r="G429" s="195">
        <f>SUM(G430:G459)</f>
        <v>0</v>
      </c>
      <c r="H429" s="121"/>
      <c r="I429" s="121"/>
      <c r="J429" s="121"/>
      <c r="K429" s="121"/>
      <c r="L429" s="121"/>
      <c r="M429" s="107"/>
      <c r="N429" s="107"/>
      <c r="O429" s="107"/>
      <c r="P429" s="107"/>
      <c r="Q429" s="107"/>
      <c r="R429" s="107"/>
      <c r="S429" s="107"/>
      <c r="T429" s="107"/>
      <c r="U429" s="107"/>
      <c r="V429" s="107"/>
      <c r="W429" s="107"/>
      <c r="X429" s="107"/>
      <c r="Y429" s="107"/>
      <c r="Z429" s="107"/>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c r="BI429" s="209"/>
      <c r="BJ429" s="213"/>
      <c r="BK429" s="213"/>
    </row>
    <row r="430" spans="1:63" ht="12.75" hidden="1" customHeight="1" outlineLevel="1">
      <c r="A430" s="9"/>
      <c r="B430" s="9"/>
      <c r="C430" s="130" t="str">
        <f>Asset1</f>
        <v>Subtransmission</v>
      </c>
      <c r="D430" s="9"/>
      <c r="E430" s="9"/>
      <c r="F430" s="142"/>
      <c r="G430" s="193">
        <f>Input!O7</f>
        <v>0</v>
      </c>
      <c r="H430" s="121"/>
      <c r="I430" s="121"/>
      <c r="J430" s="121"/>
      <c r="K430" s="121"/>
      <c r="L430" s="121"/>
      <c r="M430" s="107"/>
      <c r="N430" s="107"/>
      <c r="O430" s="107"/>
      <c r="P430" s="107"/>
      <c r="Q430" s="107"/>
      <c r="R430" s="107"/>
      <c r="S430" s="107"/>
      <c r="T430" s="107"/>
      <c r="U430" s="107"/>
      <c r="V430" s="107"/>
      <c r="W430" s="107"/>
      <c r="X430" s="107"/>
      <c r="Y430" s="107"/>
      <c r="Z430" s="107"/>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13"/>
      <c r="BK430" s="213"/>
    </row>
    <row r="431" spans="1:63" ht="12.75" hidden="1" customHeight="1" outlineLevel="1">
      <c r="A431" s="9"/>
      <c r="B431" s="46"/>
      <c r="C431" s="130" t="str">
        <f>Asset2</f>
        <v>Distribution system assets</v>
      </c>
      <c r="D431" s="9"/>
      <c r="E431" s="9"/>
      <c r="F431" s="142"/>
      <c r="G431" s="193">
        <f>Input!O8</f>
        <v>0</v>
      </c>
      <c r="H431" s="121"/>
      <c r="I431" s="121"/>
      <c r="J431" s="121"/>
      <c r="K431" s="121"/>
      <c r="L431" s="121"/>
      <c r="M431" s="107"/>
      <c r="N431" s="107"/>
      <c r="O431" s="107"/>
      <c r="P431" s="107"/>
      <c r="Q431" s="107"/>
      <c r="R431" s="107"/>
      <c r="S431" s="107"/>
      <c r="T431" s="107"/>
      <c r="U431" s="107"/>
      <c r="V431" s="107"/>
      <c r="W431" s="107"/>
      <c r="X431" s="107"/>
      <c r="Y431" s="107"/>
      <c r="Z431" s="107"/>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13"/>
      <c r="BK431" s="213"/>
    </row>
    <row r="432" spans="1:63" ht="12.75" hidden="1" customHeight="1" outlineLevel="1">
      <c r="A432" s="9"/>
      <c r="B432" s="46"/>
      <c r="C432" s="130" t="str">
        <f>Asset3</f>
        <v>Standard metering</v>
      </c>
      <c r="D432" s="9"/>
      <c r="E432" s="9"/>
      <c r="F432" s="142"/>
      <c r="G432" s="193">
        <f>Input!O9</f>
        <v>0</v>
      </c>
      <c r="H432" s="121"/>
      <c r="I432" s="121"/>
      <c r="J432" s="121"/>
      <c r="K432" s="121"/>
      <c r="L432" s="121"/>
      <c r="M432" s="107"/>
      <c r="N432" s="107"/>
      <c r="O432" s="107"/>
      <c r="P432" s="107"/>
      <c r="Q432" s="107"/>
      <c r="R432" s="107"/>
      <c r="S432" s="107"/>
      <c r="T432" s="107"/>
      <c r="U432" s="107"/>
      <c r="V432" s="107"/>
      <c r="W432" s="107"/>
      <c r="X432" s="107"/>
      <c r="Y432" s="107"/>
      <c r="Z432" s="107"/>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13"/>
      <c r="BK432" s="213"/>
    </row>
    <row r="433" spans="1:63" ht="12.75" hidden="1" customHeight="1" outlineLevel="1">
      <c r="A433" s="9"/>
      <c r="B433" s="46"/>
      <c r="C433" s="130" t="str">
        <f>Asset4</f>
        <v>Public lighting</v>
      </c>
      <c r="D433" s="9"/>
      <c r="E433" s="9"/>
      <c r="F433" s="142"/>
      <c r="G433" s="193">
        <f>Input!O10</f>
        <v>0</v>
      </c>
      <c r="H433" s="121"/>
      <c r="I433" s="121"/>
      <c r="J433" s="121"/>
      <c r="K433" s="121"/>
      <c r="L433" s="121"/>
      <c r="M433" s="107"/>
      <c r="N433" s="107"/>
      <c r="O433" s="107"/>
      <c r="P433" s="107"/>
      <c r="Q433" s="107"/>
      <c r="R433" s="107"/>
      <c r="S433" s="107"/>
      <c r="T433" s="107"/>
      <c r="U433" s="107"/>
      <c r="V433" s="107"/>
      <c r="W433" s="107"/>
      <c r="X433" s="107"/>
      <c r="Y433" s="107"/>
      <c r="Z433" s="107"/>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13"/>
      <c r="BK433" s="213"/>
    </row>
    <row r="434" spans="1:63" ht="12.75" hidden="1" customHeight="1" outlineLevel="1">
      <c r="A434" s="9"/>
      <c r="B434" s="46"/>
      <c r="C434" s="130" t="str">
        <f>Asset5</f>
        <v>SCADA/Network control</v>
      </c>
      <c r="D434" s="9"/>
      <c r="E434" s="9"/>
      <c r="F434" s="142"/>
      <c r="G434" s="193">
        <f>Input!O11</f>
        <v>0</v>
      </c>
      <c r="H434" s="121"/>
      <c r="I434" s="121"/>
      <c r="J434" s="121"/>
      <c r="K434" s="121"/>
      <c r="L434" s="121"/>
      <c r="M434" s="107"/>
      <c r="N434" s="107"/>
      <c r="O434" s="107"/>
      <c r="P434" s="107"/>
      <c r="Q434" s="107"/>
      <c r="R434" s="107"/>
      <c r="S434" s="107"/>
      <c r="T434" s="107"/>
      <c r="U434" s="107"/>
      <c r="V434" s="107"/>
      <c r="W434" s="107"/>
      <c r="X434" s="107"/>
      <c r="Y434" s="107"/>
      <c r="Z434" s="107"/>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13"/>
      <c r="BK434" s="213"/>
    </row>
    <row r="435" spans="1:63" ht="12.75" hidden="1" customHeight="1" outlineLevel="1">
      <c r="A435" s="9"/>
      <c r="B435" s="46"/>
      <c r="C435" s="130" t="str">
        <f>Asset6</f>
        <v>Non-network general assets - IT</v>
      </c>
      <c r="D435" s="9"/>
      <c r="E435" s="9"/>
      <c r="F435" s="142"/>
      <c r="G435" s="193">
        <f>Input!O12</f>
        <v>0</v>
      </c>
      <c r="H435" s="121"/>
      <c r="I435" s="121"/>
      <c r="J435" s="121"/>
      <c r="K435" s="121"/>
      <c r="L435" s="121"/>
      <c r="M435" s="107"/>
      <c r="N435" s="107"/>
      <c r="O435" s="107"/>
      <c r="P435" s="107"/>
      <c r="Q435" s="107"/>
      <c r="R435" s="107"/>
      <c r="S435" s="107"/>
      <c r="T435" s="107"/>
      <c r="U435" s="107"/>
      <c r="V435" s="107"/>
      <c r="W435" s="107"/>
      <c r="X435" s="107"/>
      <c r="Y435" s="107"/>
      <c r="Z435" s="107"/>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c r="BI435" s="209"/>
      <c r="BJ435" s="213"/>
      <c r="BK435" s="213"/>
    </row>
    <row r="436" spans="1:63" ht="12.75" hidden="1" customHeight="1" outlineLevel="1">
      <c r="A436" s="9"/>
      <c r="B436" s="46"/>
      <c r="C436" s="130" t="str">
        <f>Asset7</f>
        <v>Non-network general assets - Other</v>
      </c>
      <c r="D436" s="9"/>
      <c r="E436" s="9"/>
      <c r="F436" s="142"/>
      <c r="G436" s="193">
        <f>Input!O13</f>
        <v>0</v>
      </c>
      <c r="H436" s="121"/>
      <c r="I436" s="121"/>
      <c r="J436" s="121"/>
      <c r="K436" s="121"/>
      <c r="L436" s="121"/>
      <c r="M436" s="107"/>
      <c r="N436" s="107"/>
      <c r="O436" s="107"/>
      <c r="P436" s="107"/>
      <c r="Q436" s="107"/>
      <c r="R436" s="107"/>
      <c r="S436" s="107"/>
      <c r="T436" s="107"/>
      <c r="U436" s="107"/>
      <c r="V436" s="107"/>
      <c r="W436" s="107"/>
      <c r="X436" s="107"/>
      <c r="Y436" s="107"/>
      <c r="Z436" s="107"/>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c r="BI436" s="209"/>
      <c r="BJ436" s="213"/>
      <c r="BK436" s="213"/>
    </row>
    <row r="437" spans="1:63" ht="12.75" hidden="1" customHeight="1" outlineLevel="1">
      <c r="A437" s="9"/>
      <c r="B437" s="46"/>
      <c r="C437" s="130" t="str">
        <f>Asset8</f>
        <v>VBRC</v>
      </c>
      <c r="D437" s="9"/>
      <c r="E437" s="9"/>
      <c r="F437" s="142"/>
      <c r="G437" s="193">
        <f>Input!O14</f>
        <v>0</v>
      </c>
      <c r="H437" s="121"/>
      <c r="I437" s="121"/>
      <c r="J437" s="121"/>
      <c r="K437" s="121"/>
      <c r="L437" s="121"/>
      <c r="M437" s="107"/>
      <c r="N437" s="107"/>
      <c r="O437" s="107"/>
      <c r="P437" s="107"/>
      <c r="Q437" s="107"/>
      <c r="R437" s="107"/>
      <c r="S437" s="107"/>
      <c r="T437" s="107"/>
      <c r="U437" s="107"/>
      <c r="V437" s="107"/>
      <c r="W437" s="107"/>
      <c r="X437" s="107"/>
      <c r="Y437" s="107"/>
      <c r="Z437" s="107"/>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13"/>
      <c r="BK437" s="213"/>
    </row>
    <row r="438" spans="1:63" ht="12.75" hidden="1" customHeight="1" outlineLevel="1">
      <c r="A438" s="9"/>
      <c r="B438" s="46"/>
      <c r="C438" s="130" t="str">
        <f>Asset9</f>
        <v>Equity raising</v>
      </c>
      <c r="D438" s="9"/>
      <c r="E438" s="9"/>
      <c r="F438" s="142"/>
      <c r="G438" s="193">
        <f>Input!O15</f>
        <v>0</v>
      </c>
      <c r="H438" s="121"/>
      <c r="I438" s="121"/>
      <c r="J438" s="121"/>
      <c r="K438" s="121"/>
      <c r="L438" s="121"/>
      <c r="M438" s="107"/>
      <c r="N438" s="107"/>
      <c r="O438" s="107"/>
      <c r="P438" s="107"/>
      <c r="Q438" s="107"/>
      <c r="R438" s="107"/>
      <c r="S438" s="107"/>
      <c r="T438" s="107"/>
      <c r="U438" s="107"/>
      <c r="V438" s="107"/>
      <c r="W438" s="107"/>
      <c r="X438" s="107"/>
      <c r="Y438" s="107"/>
      <c r="Z438" s="107"/>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13"/>
      <c r="BK438" s="213"/>
    </row>
    <row r="439" spans="1:63" ht="12.75" hidden="1" customHeight="1" outlineLevel="1">
      <c r="A439" s="9"/>
      <c r="B439" s="46"/>
      <c r="C439" s="130">
        <f>Asset10</f>
        <v>0</v>
      </c>
      <c r="D439" s="9"/>
      <c r="E439" s="9"/>
      <c r="F439" s="142"/>
      <c r="G439" s="193">
        <f>Input!O16</f>
        <v>0</v>
      </c>
      <c r="H439" s="121"/>
      <c r="I439" s="121"/>
      <c r="J439" s="121"/>
      <c r="K439" s="121"/>
      <c r="L439" s="121"/>
      <c r="M439" s="107"/>
      <c r="N439" s="107"/>
      <c r="O439" s="107"/>
      <c r="P439" s="107"/>
      <c r="Q439" s="107"/>
      <c r="R439" s="107"/>
      <c r="S439" s="107"/>
      <c r="T439" s="107"/>
      <c r="U439" s="107"/>
      <c r="V439" s="107"/>
      <c r="W439" s="107"/>
      <c r="X439" s="107"/>
      <c r="Y439" s="107"/>
      <c r="Z439" s="107"/>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13"/>
      <c r="BK439" s="213"/>
    </row>
    <row r="440" spans="1:63" ht="12.75" hidden="1" customHeight="1" outlineLevel="1">
      <c r="A440" s="9"/>
      <c r="B440" s="46"/>
      <c r="C440" s="130">
        <f>Asset11</f>
        <v>0</v>
      </c>
      <c r="D440" s="9"/>
      <c r="E440" s="9"/>
      <c r="F440" s="142"/>
      <c r="G440" s="193">
        <f>Input!O17</f>
        <v>0</v>
      </c>
      <c r="H440" s="121"/>
      <c r="I440" s="121"/>
      <c r="J440" s="121"/>
      <c r="K440" s="121"/>
      <c r="L440" s="121"/>
      <c r="M440" s="107"/>
      <c r="N440" s="107"/>
      <c r="O440" s="107"/>
      <c r="P440" s="107"/>
      <c r="Q440" s="107"/>
      <c r="R440" s="107"/>
      <c r="S440" s="107"/>
      <c r="T440" s="107"/>
      <c r="U440" s="107"/>
      <c r="V440" s="107"/>
      <c r="W440" s="107"/>
      <c r="X440" s="107"/>
      <c r="Y440" s="107"/>
      <c r="Z440" s="107"/>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c r="BI440" s="209"/>
      <c r="BJ440" s="213"/>
      <c r="BK440" s="213"/>
    </row>
    <row r="441" spans="1:63" ht="12.75" hidden="1" customHeight="1" outlineLevel="1">
      <c r="A441" s="9"/>
      <c r="B441" s="46"/>
      <c r="C441" s="130">
        <f>Asset12</f>
        <v>0</v>
      </c>
      <c r="D441" s="9"/>
      <c r="E441" s="9"/>
      <c r="F441" s="142"/>
      <c r="G441" s="193">
        <f>Input!O18</f>
        <v>0</v>
      </c>
      <c r="H441" s="121"/>
      <c r="I441" s="121"/>
      <c r="J441" s="121"/>
      <c r="K441" s="121"/>
      <c r="L441" s="121"/>
      <c r="M441" s="107"/>
      <c r="N441" s="107"/>
      <c r="O441" s="107"/>
      <c r="P441" s="107"/>
      <c r="Q441" s="107"/>
      <c r="R441" s="107"/>
      <c r="S441" s="107"/>
      <c r="T441" s="107"/>
      <c r="U441" s="107"/>
      <c r="V441" s="107"/>
      <c r="W441" s="107"/>
      <c r="X441" s="107"/>
      <c r="Y441" s="107"/>
      <c r="Z441" s="107"/>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c r="BI441" s="209"/>
      <c r="BJ441" s="213"/>
      <c r="BK441" s="213"/>
    </row>
    <row r="442" spans="1:63" ht="12.75" hidden="1" customHeight="1" outlineLevel="1">
      <c r="A442" s="9"/>
      <c r="B442" s="46"/>
      <c r="C442" s="130">
        <f>Asset13</f>
        <v>0</v>
      </c>
      <c r="D442" s="9"/>
      <c r="E442" s="9"/>
      <c r="F442" s="142"/>
      <c r="G442" s="193">
        <f>Input!O19</f>
        <v>0</v>
      </c>
      <c r="H442" s="121"/>
      <c r="I442" s="121"/>
      <c r="J442" s="121"/>
      <c r="K442" s="121"/>
      <c r="L442" s="121"/>
      <c r="M442" s="107"/>
      <c r="N442" s="107"/>
      <c r="O442" s="107"/>
      <c r="P442" s="107"/>
      <c r="Q442" s="107"/>
      <c r="R442" s="107"/>
      <c r="S442" s="107"/>
      <c r="T442" s="107"/>
      <c r="U442" s="107"/>
      <c r="V442" s="107"/>
      <c r="W442" s="107"/>
      <c r="X442" s="107"/>
      <c r="Y442" s="107"/>
      <c r="Z442" s="107"/>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13"/>
      <c r="BK442" s="213"/>
    </row>
    <row r="443" spans="1:63" ht="12.75" hidden="1" customHeight="1" outlineLevel="1">
      <c r="A443" s="9"/>
      <c r="B443" s="46"/>
      <c r="C443" s="130">
        <f>Asset14</f>
        <v>0</v>
      </c>
      <c r="D443" s="9"/>
      <c r="E443" s="9"/>
      <c r="F443" s="142"/>
      <c r="G443" s="193">
        <f>Input!O20</f>
        <v>0</v>
      </c>
      <c r="H443" s="121"/>
      <c r="I443" s="121"/>
      <c r="J443" s="121"/>
      <c r="K443" s="121"/>
      <c r="L443" s="121"/>
      <c r="M443" s="107"/>
      <c r="N443" s="107"/>
      <c r="O443" s="107"/>
      <c r="P443" s="107"/>
      <c r="Q443" s="107"/>
      <c r="R443" s="107"/>
      <c r="S443" s="107"/>
      <c r="T443" s="107"/>
      <c r="U443" s="107"/>
      <c r="V443" s="107"/>
      <c r="W443" s="107"/>
      <c r="X443" s="107"/>
      <c r="Y443" s="107"/>
      <c r="Z443" s="107"/>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13"/>
      <c r="BK443" s="213"/>
    </row>
    <row r="444" spans="1:63" ht="12.75" hidden="1" customHeight="1" outlineLevel="1">
      <c r="A444" s="9"/>
      <c r="B444" s="46"/>
      <c r="C444" s="130">
        <f>Asset15</f>
        <v>0</v>
      </c>
      <c r="D444" s="9"/>
      <c r="E444" s="9"/>
      <c r="F444" s="142"/>
      <c r="G444" s="193">
        <f>Input!O21</f>
        <v>0</v>
      </c>
      <c r="H444" s="121"/>
      <c r="I444" s="121"/>
      <c r="J444" s="121"/>
      <c r="K444" s="121"/>
      <c r="L444" s="121"/>
      <c r="M444" s="107"/>
      <c r="N444" s="107"/>
      <c r="O444" s="107"/>
      <c r="P444" s="107"/>
      <c r="Q444" s="107"/>
      <c r="R444" s="107"/>
      <c r="S444" s="107"/>
      <c r="T444" s="107"/>
      <c r="U444" s="107"/>
      <c r="V444" s="107"/>
      <c r="W444" s="107"/>
      <c r="X444" s="107"/>
      <c r="Y444" s="107"/>
      <c r="Z444" s="107"/>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13"/>
      <c r="BK444" s="213"/>
    </row>
    <row r="445" spans="1:63" ht="12.75" hidden="1" customHeight="1" outlineLevel="1">
      <c r="A445" s="9"/>
      <c r="B445" s="46"/>
      <c r="C445" s="130">
        <f>Asset16</f>
        <v>0</v>
      </c>
      <c r="D445" s="9"/>
      <c r="E445" s="9"/>
      <c r="F445" s="142"/>
      <c r="G445" s="193">
        <f>Input!O22</f>
        <v>0</v>
      </c>
      <c r="H445" s="121"/>
      <c r="I445" s="121"/>
      <c r="J445" s="121"/>
      <c r="K445" s="121"/>
      <c r="L445" s="121"/>
      <c r="M445" s="107"/>
      <c r="N445" s="107"/>
      <c r="O445" s="107"/>
      <c r="P445" s="107"/>
      <c r="Q445" s="107"/>
      <c r="R445" s="107"/>
      <c r="S445" s="107"/>
      <c r="T445" s="107"/>
      <c r="U445" s="107"/>
      <c r="V445" s="107"/>
      <c r="W445" s="107"/>
      <c r="X445" s="107"/>
      <c r="Y445" s="107"/>
      <c r="Z445" s="107"/>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13"/>
      <c r="BK445" s="213"/>
    </row>
    <row r="446" spans="1:63" ht="12.75" hidden="1" customHeight="1" outlineLevel="1">
      <c r="A446" s="9"/>
      <c r="B446" s="46"/>
      <c r="C446" s="130">
        <f>Asset17</f>
        <v>0</v>
      </c>
      <c r="D446" s="9"/>
      <c r="E446" s="9"/>
      <c r="F446" s="142"/>
      <c r="G446" s="193">
        <f>Input!O23</f>
        <v>0</v>
      </c>
      <c r="H446" s="121"/>
      <c r="I446" s="121"/>
      <c r="J446" s="121"/>
      <c r="K446" s="121"/>
      <c r="L446" s="121"/>
      <c r="M446" s="107"/>
      <c r="N446" s="107"/>
      <c r="O446" s="107"/>
      <c r="P446" s="107"/>
      <c r="Q446" s="107"/>
      <c r="R446" s="107"/>
      <c r="S446" s="107"/>
      <c r="T446" s="107"/>
      <c r="U446" s="107"/>
      <c r="V446" s="107"/>
      <c r="W446" s="107"/>
      <c r="X446" s="107"/>
      <c r="Y446" s="107"/>
      <c r="Z446" s="107"/>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13"/>
      <c r="BK446" s="213"/>
    </row>
    <row r="447" spans="1:63" ht="12.75" hidden="1" customHeight="1" outlineLevel="1">
      <c r="A447" s="9"/>
      <c r="B447" s="46"/>
      <c r="C447" s="130">
        <f>Asset18</f>
        <v>0</v>
      </c>
      <c r="D447" s="9"/>
      <c r="E447" s="9"/>
      <c r="F447" s="142"/>
      <c r="G447" s="193">
        <f>Input!O24</f>
        <v>0</v>
      </c>
      <c r="H447" s="121"/>
      <c r="I447" s="121"/>
      <c r="J447" s="121"/>
      <c r="K447" s="121"/>
      <c r="L447" s="121"/>
      <c r="M447" s="107"/>
      <c r="N447" s="107"/>
      <c r="O447" s="107"/>
      <c r="P447" s="107"/>
      <c r="Q447" s="107"/>
      <c r="R447" s="107"/>
      <c r="S447" s="107"/>
      <c r="T447" s="107"/>
      <c r="U447" s="107"/>
      <c r="V447" s="107"/>
      <c r="W447" s="107"/>
      <c r="X447" s="107"/>
      <c r="Y447" s="107"/>
      <c r="Z447" s="107"/>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c r="BI447" s="209"/>
      <c r="BJ447" s="213"/>
      <c r="BK447" s="213"/>
    </row>
    <row r="448" spans="1:63" ht="12.75" hidden="1" customHeight="1" outlineLevel="1">
      <c r="A448" s="9"/>
      <c r="B448" s="46"/>
      <c r="C448" s="130">
        <f>Asset19</f>
        <v>0</v>
      </c>
      <c r="D448" s="9"/>
      <c r="E448" s="9"/>
      <c r="F448" s="142"/>
      <c r="G448" s="193">
        <f>Input!O25</f>
        <v>0</v>
      </c>
      <c r="H448" s="121"/>
      <c r="I448" s="121"/>
      <c r="J448" s="121"/>
      <c r="K448" s="121"/>
      <c r="L448" s="121"/>
      <c r="M448" s="107"/>
      <c r="N448" s="107"/>
      <c r="O448" s="107"/>
      <c r="P448" s="107"/>
      <c r="Q448" s="107"/>
      <c r="R448" s="107"/>
      <c r="S448" s="107"/>
      <c r="T448" s="107"/>
      <c r="U448" s="107"/>
      <c r="V448" s="107"/>
      <c r="W448" s="107"/>
      <c r="X448" s="107"/>
      <c r="Y448" s="107"/>
      <c r="Z448" s="107"/>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13"/>
      <c r="BK448" s="213"/>
    </row>
    <row r="449" spans="1:63" ht="12.75" hidden="1" customHeight="1" outlineLevel="1">
      <c r="A449" s="9"/>
      <c r="B449" s="46"/>
      <c r="C449" s="130">
        <f>Asset20</f>
        <v>0</v>
      </c>
      <c r="D449" s="9"/>
      <c r="E449" s="9"/>
      <c r="F449" s="142"/>
      <c r="G449" s="193">
        <f>Input!O26</f>
        <v>0</v>
      </c>
      <c r="H449" s="121"/>
      <c r="I449" s="121"/>
      <c r="J449" s="121"/>
      <c r="K449" s="121"/>
      <c r="L449" s="121"/>
      <c r="M449" s="107"/>
      <c r="N449" s="107"/>
      <c r="O449" s="107"/>
      <c r="P449" s="107"/>
      <c r="Q449" s="107"/>
      <c r="R449" s="107"/>
      <c r="S449" s="107"/>
      <c r="T449" s="107"/>
      <c r="U449" s="107"/>
      <c r="V449" s="107"/>
      <c r="W449" s="107"/>
      <c r="X449" s="107"/>
      <c r="Y449" s="107"/>
      <c r="Z449" s="107"/>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c r="BI449" s="209"/>
      <c r="BJ449" s="213"/>
      <c r="BK449" s="213"/>
    </row>
    <row r="450" spans="1:63" ht="12.75" hidden="1" customHeight="1" outlineLevel="1">
      <c r="A450" s="9"/>
      <c r="B450" s="46"/>
      <c r="C450" s="130">
        <f>Asset21</f>
        <v>0</v>
      </c>
      <c r="D450" s="9"/>
      <c r="E450" s="9"/>
      <c r="F450" s="142"/>
      <c r="G450" s="193">
        <f>Input!O27</f>
        <v>0</v>
      </c>
      <c r="H450" s="121"/>
      <c r="I450" s="121"/>
      <c r="J450" s="121"/>
      <c r="K450" s="121"/>
      <c r="L450" s="121"/>
      <c r="M450" s="107"/>
      <c r="N450" s="107"/>
      <c r="O450" s="107"/>
      <c r="P450" s="107"/>
      <c r="Q450" s="107"/>
      <c r="R450" s="107"/>
      <c r="S450" s="107"/>
      <c r="T450" s="107"/>
      <c r="U450" s="107"/>
      <c r="V450" s="107"/>
      <c r="W450" s="107"/>
      <c r="X450" s="107"/>
      <c r="Y450" s="107"/>
      <c r="Z450" s="107"/>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13"/>
      <c r="BK450" s="213"/>
    </row>
    <row r="451" spans="1:63" ht="12.75" hidden="1" customHeight="1" outlineLevel="1">
      <c r="A451" s="9"/>
      <c r="B451" s="46"/>
      <c r="C451" s="130">
        <f>Asset22</f>
        <v>0</v>
      </c>
      <c r="D451" s="9"/>
      <c r="E451" s="9"/>
      <c r="F451" s="142"/>
      <c r="G451" s="193">
        <f>Input!O28</f>
        <v>0</v>
      </c>
      <c r="H451" s="121"/>
      <c r="I451" s="121"/>
      <c r="J451" s="121"/>
      <c r="K451" s="121"/>
      <c r="L451" s="121"/>
      <c r="M451" s="107"/>
      <c r="N451" s="107"/>
      <c r="O451" s="107"/>
      <c r="P451" s="107"/>
      <c r="Q451" s="107"/>
      <c r="R451" s="107"/>
      <c r="S451" s="107"/>
      <c r="T451" s="107"/>
      <c r="U451" s="107"/>
      <c r="V451" s="107"/>
      <c r="W451" s="107"/>
      <c r="X451" s="107"/>
      <c r="Y451" s="107"/>
      <c r="Z451" s="107"/>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13"/>
      <c r="BK451" s="213"/>
    </row>
    <row r="452" spans="1:63" ht="12.75" hidden="1" customHeight="1" outlineLevel="1">
      <c r="A452" s="9"/>
      <c r="B452" s="46"/>
      <c r="C452" s="130">
        <f>Asset23</f>
        <v>0</v>
      </c>
      <c r="D452" s="9"/>
      <c r="E452" s="9"/>
      <c r="F452" s="142"/>
      <c r="G452" s="193">
        <f>Input!O29</f>
        <v>0</v>
      </c>
      <c r="H452" s="121"/>
      <c r="I452" s="121"/>
      <c r="J452" s="121"/>
      <c r="K452" s="121"/>
      <c r="L452" s="121"/>
      <c r="M452" s="107"/>
      <c r="N452" s="107"/>
      <c r="O452" s="107"/>
      <c r="P452" s="107"/>
      <c r="Q452" s="107"/>
      <c r="R452" s="107"/>
      <c r="S452" s="107"/>
      <c r="T452" s="107"/>
      <c r="U452" s="107"/>
      <c r="V452" s="107"/>
      <c r="W452" s="107"/>
      <c r="X452" s="107"/>
      <c r="Y452" s="107"/>
      <c r="Z452" s="107"/>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13"/>
      <c r="BK452" s="213"/>
    </row>
    <row r="453" spans="1:63" ht="12.75" hidden="1" customHeight="1" outlineLevel="1">
      <c r="A453" s="9"/>
      <c r="B453" s="46"/>
      <c r="C453" s="130">
        <f>Asset24</f>
        <v>0</v>
      </c>
      <c r="D453" s="9"/>
      <c r="E453" s="9"/>
      <c r="F453" s="142"/>
      <c r="G453" s="193">
        <f>Input!O30</f>
        <v>0</v>
      </c>
      <c r="H453" s="121"/>
      <c r="I453" s="121"/>
      <c r="J453" s="121"/>
      <c r="K453" s="121"/>
      <c r="L453" s="121"/>
      <c r="M453" s="107"/>
      <c r="N453" s="107"/>
      <c r="O453" s="107"/>
      <c r="P453" s="107"/>
      <c r="Q453" s="107"/>
      <c r="R453" s="107"/>
      <c r="S453" s="107"/>
      <c r="T453" s="107"/>
      <c r="U453" s="107"/>
      <c r="V453" s="107"/>
      <c r="W453" s="107"/>
      <c r="X453" s="107"/>
      <c r="Y453" s="107"/>
      <c r="Z453" s="107"/>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c r="BI453" s="209"/>
      <c r="BJ453" s="213"/>
      <c r="BK453" s="213"/>
    </row>
    <row r="454" spans="1:63" ht="12.75" hidden="1" customHeight="1" outlineLevel="1">
      <c r="A454" s="9"/>
      <c r="B454" s="46"/>
      <c r="C454" s="130">
        <f>Asset25</f>
        <v>0</v>
      </c>
      <c r="D454" s="9"/>
      <c r="E454" s="9"/>
      <c r="F454" s="142"/>
      <c r="G454" s="193">
        <f>Input!O31</f>
        <v>0</v>
      </c>
      <c r="H454" s="121"/>
      <c r="I454" s="121"/>
      <c r="J454" s="121"/>
      <c r="K454" s="121"/>
      <c r="L454" s="121"/>
      <c r="M454" s="107"/>
      <c r="N454" s="107"/>
      <c r="O454" s="107"/>
      <c r="P454" s="107"/>
      <c r="Q454" s="107"/>
      <c r="R454" s="107"/>
      <c r="S454" s="107"/>
      <c r="T454" s="107"/>
      <c r="U454" s="107"/>
      <c r="V454" s="107"/>
      <c r="W454" s="107"/>
      <c r="X454" s="107"/>
      <c r="Y454" s="107"/>
      <c r="Z454" s="107"/>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c r="BI454" s="209"/>
      <c r="BJ454" s="213"/>
      <c r="BK454" s="213"/>
    </row>
    <row r="455" spans="1:63" ht="12.75" hidden="1" customHeight="1" outlineLevel="1">
      <c r="A455" s="9"/>
      <c r="B455" s="46"/>
      <c r="C455" s="130">
        <f>Asset26</f>
        <v>0</v>
      </c>
      <c r="D455" s="9"/>
      <c r="E455" s="9"/>
      <c r="F455" s="142"/>
      <c r="G455" s="193">
        <f>Input!O32</f>
        <v>0</v>
      </c>
      <c r="H455" s="121"/>
      <c r="I455" s="121"/>
      <c r="J455" s="121"/>
      <c r="K455" s="121"/>
      <c r="L455" s="121"/>
      <c r="M455" s="107"/>
      <c r="N455" s="107"/>
      <c r="O455" s="107"/>
      <c r="P455" s="107"/>
      <c r="Q455" s="107"/>
      <c r="R455" s="107"/>
      <c r="S455" s="107"/>
      <c r="T455" s="107"/>
      <c r="U455" s="107"/>
      <c r="V455" s="107"/>
      <c r="W455" s="107"/>
      <c r="X455" s="107"/>
      <c r="Y455" s="107"/>
      <c r="Z455" s="107"/>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c r="BI455" s="209"/>
      <c r="BJ455" s="213"/>
      <c r="BK455" s="213"/>
    </row>
    <row r="456" spans="1:63" ht="12.75" hidden="1" customHeight="1" outlineLevel="1">
      <c r="A456" s="9"/>
      <c r="B456" s="46"/>
      <c r="C456" s="130">
        <f>Asset27</f>
        <v>0</v>
      </c>
      <c r="D456" s="9"/>
      <c r="E456" s="9"/>
      <c r="F456" s="142"/>
      <c r="G456" s="193">
        <f>Input!O33</f>
        <v>0</v>
      </c>
      <c r="H456" s="121"/>
      <c r="I456" s="121"/>
      <c r="J456" s="121"/>
      <c r="K456" s="121"/>
      <c r="L456" s="121"/>
      <c r="M456" s="107"/>
      <c r="N456" s="107"/>
      <c r="O456" s="107"/>
      <c r="P456" s="107"/>
      <c r="Q456" s="107"/>
      <c r="R456" s="107"/>
      <c r="S456" s="107"/>
      <c r="T456" s="107"/>
      <c r="U456" s="107"/>
      <c r="V456" s="107"/>
      <c r="W456" s="107"/>
      <c r="X456" s="107"/>
      <c r="Y456" s="107"/>
      <c r="Z456" s="107"/>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c r="BI456" s="209"/>
      <c r="BJ456" s="213"/>
      <c r="BK456" s="213"/>
    </row>
    <row r="457" spans="1:63" ht="12.75" hidden="1" customHeight="1" outlineLevel="1">
      <c r="A457" s="9"/>
      <c r="B457" s="46"/>
      <c r="C457" s="130">
        <f>Asset28</f>
        <v>0</v>
      </c>
      <c r="D457" s="9"/>
      <c r="E457" s="9"/>
      <c r="F457" s="142"/>
      <c r="G457" s="193">
        <f>Input!O34</f>
        <v>0</v>
      </c>
      <c r="H457" s="121"/>
      <c r="I457" s="121"/>
      <c r="J457" s="121"/>
      <c r="K457" s="121"/>
      <c r="L457" s="121"/>
      <c r="M457" s="107"/>
      <c r="N457" s="107"/>
      <c r="O457" s="107"/>
      <c r="P457" s="107"/>
      <c r="Q457" s="107"/>
      <c r="R457" s="107"/>
      <c r="S457" s="107"/>
      <c r="T457" s="107"/>
      <c r="U457" s="107"/>
      <c r="V457" s="107"/>
      <c r="W457" s="107"/>
      <c r="X457" s="107"/>
      <c r="Y457" s="107"/>
      <c r="Z457" s="107"/>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c r="BI457" s="209"/>
      <c r="BJ457" s="213"/>
      <c r="BK457" s="213"/>
    </row>
    <row r="458" spans="1:63" ht="12.75" hidden="1" customHeight="1" outlineLevel="1">
      <c r="A458" s="9"/>
      <c r="B458" s="46"/>
      <c r="C458" s="130">
        <f>Asset29</f>
        <v>0</v>
      </c>
      <c r="D458" s="9"/>
      <c r="E458" s="9"/>
      <c r="F458" s="142"/>
      <c r="G458" s="193">
        <f>Input!O35</f>
        <v>0</v>
      </c>
      <c r="H458" s="121"/>
      <c r="I458" s="121"/>
      <c r="J458" s="121"/>
      <c r="K458" s="121"/>
      <c r="L458" s="121"/>
      <c r="M458" s="107"/>
      <c r="N458" s="107"/>
      <c r="O458" s="107"/>
      <c r="P458" s="107"/>
      <c r="Q458" s="107"/>
      <c r="R458" s="107"/>
      <c r="S458" s="107"/>
      <c r="T458" s="107"/>
      <c r="U458" s="107"/>
      <c r="V458" s="107"/>
      <c r="W458" s="107"/>
      <c r="X458" s="107"/>
      <c r="Y458" s="107"/>
      <c r="Z458" s="107"/>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c r="BI458" s="209"/>
      <c r="BJ458" s="213"/>
      <c r="BK458" s="213"/>
    </row>
    <row r="459" spans="1:63" ht="12.75" hidden="1" customHeight="1" outlineLevel="1">
      <c r="A459" s="9"/>
      <c r="B459" s="46"/>
      <c r="C459" s="130">
        <f>Asset30</f>
        <v>0</v>
      </c>
      <c r="D459" s="9"/>
      <c r="E459" s="9"/>
      <c r="F459" s="142"/>
      <c r="G459" s="193">
        <f>Input!O36</f>
        <v>0</v>
      </c>
      <c r="H459" s="121"/>
      <c r="I459" s="121"/>
      <c r="J459" s="121"/>
      <c r="K459" s="121"/>
      <c r="L459" s="121"/>
      <c r="M459" s="107"/>
      <c r="N459" s="107"/>
      <c r="O459" s="107"/>
      <c r="P459" s="107"/>
      <c r="Q459" s="107"/>
      <c r="R459" s="107"/>
      <c r="S459" s="107"/>
      <c r="T459" s="107"/>
      <c r="U459" s="107"/>
      <c r="V459" s="107"/>
      <c r="W459" s="107"/>
      <c r="X459" s="107"/>
      <c r="Y459" s="107"/>
      <c r="Z459" s="107"/>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c r="BI459" s="209"/>
      <c r="BJ459" s="213"/>
      <c r="BK459" s="213"/>
    </row>
    <row r="460" spans="1:63" collapsed="1">
      <c r="A460" s="9"/>
      <c r="B460" s="46"/>
      <c r="C460" s="130"/>
      <c r="D460" s="9"/>
      <c r="E460" s="9"/>
      <c r="F460" s="142"/>
      <c r="G460" s="193"/>
      <c r="H460" s="121"/>
      <c r="I460" s="121"/>
      <c r="J460" s="121"/>
      <c r="K460" s="121"/>
      <c r="L460" s="121"/>
      <c r="M460" s="107"/>
      <c r="N460" s="107"/>
      <c r="O460" s="107"/>
      <c r="P460" s="107"/>
      <c r="Q460" s="107"/>
      <c r="R460" s="107"/>
      <c r="S460" s="107"/>
      <c r="T460" s="107"/>
      <c r="U460" s="107"/>
      <c r="V460" s="107"/>
      <c r="W460" s="107"/>
      <c r="X460" s="107"/>
      <c r="Y460" s="107"/>
      <c r="Z460" s="107"/>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13"/>
      <c r="BK460" s="213"/>
    </row>
    <row r="461" spans="1:63">
      <c r="A461" s="9"/>
      <c r="B461" s="46" t="s">
        <v>65</v>
      </c>
      <c r="C461" s="130"/>
      <c r="D461" s="9"/>
      <c r="E461" s="9"/>
      <c r="F461" s="142"/>
      <c r="G461" s="195">
        <f>SUM(G462:G491)</f>
        <v>0</v>
      </c>
      <c r="H461" s="121"/>
      <c r="I461" s="121"/>
      <c r="J461" s="121"/>
      <c r="K461" s="121"/>
      <c r="L461" s="121"/>
      <c r="M461" s="107"/>
      <c r="N461" s="107"/>
      <c r="O461" s="107"/>
      <c r="P461" s="107"/>
      <c r="Q461" s="107"/>
      <c r="R461" s="107"/>
      <c r="S461" s="107"/>
      <c r="T461" s="107"/>
      <c r="U461" s="107"/>
      <c r="V461" s="107"/>
      <c r="W461" s="107"/>
      <c r="X461" s="107"/>
      <c r="Y461" s="107"/>
      <c r="Z461" s="107"/>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c r="BI461" s="209"/>
      <c r="BJ461" s="213"/>
      <c r="BK461" s="213"/>
    </row>
    <row r="462" spans="1:63" ht="12.75" hidden="1" customHeight="1" outlineLevel="1">
      <c r="A462" s="9"/>
      <c r="B462" s="9"/>
      <c r="C462" s="130" t="str">
        <f>Asset1</f>
        <v>Subtransmission</v>
      </c>
      <c r="D462" s="9"/>
      <c r="E462" s="9"/>
      <c r="F462" s="142"/>
      <c r="G462" s="193">
        <f>Input!P7</f>
        <v>0</v>
      </c>
      <c r="H462" s="121"/>
      <c r="I462" s="121"/>
      <c r="J462" s="121"/>
      <c r="K462" s="121"/>
      <c r="L462" s="121"/>
      <c r="M462" s="107"/>
      <c r="N462" s="107"/>
      <c r="O462" s="107"/>
      <c r="P462" s="107"/>
      <c r="Q462" s="107"/>
      <c r="R462" s="107"/>
      <c r="S462" s="107"/>
      <c r="T462" s="107"/>
      <c r="U462" s="107"/>
      <c r="V462" s="107"/>
      <c r="W462" s="107"/>
      <c r="X462" s="107"/>
      <c r="Y462" s="107"/>
      <c r="Z462" s="107"/>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c r="BI462" s="209"/>
      <c r="BJ462" s="213"/>
      <c r="BK462" s="213"/>
    </row>
    <row r="463" spans="1:63" ht="12.75" hidden="1" customHeight="1" outlineLevel="1">
      <c r="A463" s="9"/>
      <c r="B463" s="46"/>
      <c r="C463" s="130" t="str">
        <f>Asset2</f>
        <v>Distribution system assets</v>
      </c>
      <c r="D463" s="9"/>
      <c r="E463" s="9"/>
      <c r="F463" s="142"/>
      <c r="G463" s="193">
        <f>Input!P8</f>
        <v>0</v>
      </c>
      <c r="H463" s="121"/>
      <c r="I463" s="121"/>
      <c r="J463" s="121"/>
      <c r="K463" s="121"/>
      <c r="L463" s="121"/>
      <c r="M463" s="107"/>
      <c r="N463" s="107"/>
      <c r="O463" s="107"/>
      <c r="P463" s="107"/>
      <c r="Q463" s="107"/>
      <c r="R463" s="107"/>
      <c r="S463" s="107"/>
      <c r="T463" s="107"/>
      <c r="U463" s="107"/>
      <c r="V463" s="107"/>
      <c r="W463" s="107"/>
      <c r="X463" s="107"/>
      <c r="Y463" s="107"/>
      <c r="Z463" s="107"/>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13"/>
      <c r="BK463" s="213"/>
    </row>
    <row r="464" spans="1:63" ht="12.75" hidden="1" customHeight="1" outlineLevel="1">
      <c r="A464" s="9"/>
      <c r="B464" s="46"/>
      <c r="C464" s="130" t="str">
        <f>Asset3</f>
        <v>Standard metering</v>
      </c>
      <c r="D464" s="9"/>
      <c r="E464" s="9"/>
      <c r="F464" s="142"/>
      <c r="G464" s="193">
        <f>Input!P9</f>
        <v>0</v>
      </c>
      <c r="H464" s="121"/>
      <c r="I464" s="121"/>
      <c r="J464" s="121"/>
      <c r="K464" s="121"/>
      <c r="L464" s="121"/>
      <c r="M464" s="107"/>
      <c r="N464" s="107"/>
      <c r="O464" s="107"/>
      <c r="P464" s="107"/>
      <c r="Q464" s="107"/>
      <c r="R464" s="107"/>
      <c r="S464" s="107"/>
      <c r="T464" s="107"/>
      <c r="U464" s="107"/>
      <c r="V464" s="107"/>
      <c r="W464" s="107"/>
      <c r="X464" s="107"/>
      <c r="Y464" s="107"/>
      <c r="Z464" s="107"/>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13"/>
      <c r="BK464" s="213"/>
    </row>
    <row r="465" spans="1:63" ht="12.75" hidden="1" customHeight="1" outlineLevel="1">
      <c r="A465" s="9"/>
      <c r="B465" s="46"/>
      <c r="C465" s="130" t="str">
        <f>Asset4</f>
        <v>Public lighting</v>
      </c>
      <c r="D465" s="9"/>
      <c r="E465" s="9"/>
      <c r="F465" s="142"/>
      <c r="G465" s="193">
        <f>Input!P10</f>
        <v>0</v>
      </c>
      <c r="H465" s="121"/>
      <c r="I465" s="121"/>
      <c r="J465" s="121"/>
      <c r="K465" s="121"/>
      <c r="L465" s="121"/>
      <c r="M465" s="107"/>
      <c r="N465" s="107"/>
      <c r="O465" s="107"/>
      <c r="P465" s="107"/>
      <c r="Q465" s="107"/>
      <c r="R465" s="107"/>
      <c r="S465" s="107"/>
      <c r="T465" s="107"/>
      <c r="U465" s="107"/>
      <c r="V465" s="107"/>
      <c r="W465" s="107"/>
      <c r="X465" s="107"/>
      <c r="Y465" s="107"/>
      <c r="Z465" s="107"/>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13"/>
      <c r="BK465" s="213"/>
    </row>
    <row r="466" spans="1:63" ht="12.75" hidden="1" customHeight="1" outlineLevel="1">
      <c r="A466" s="9"/>
      <c r="B466" s="46"/>
      <c r="C466" s="130" t="str">
        <f>Asset5</f>
        <v>SCADA/Network control</v>
      </c>
      <c r="D466" s="9"/>
      <c r="E466" s="9"/>
      <c r="F466" s="142"/>
      <c r="G466" s="193">
        <f>Input!P11</f>
        <v>0</v>
      </c>
      <c r="H466" s="121"/>
      <c r="I466" s="121"/>
      <c r="J466" s="121"/>
      <c r="K466" s="121"/>
      <c r="L466" s="121"/>
      <c r="M466" s="107"/>
      <c r="N466" s="107"/>
      <c r="O466" s="107"/>
      <c r="P466" s="107"/>
      <c r="Q466" s="107"/>
      <c r="R466" s="107"/>
      <c r="S466" s="107"/>
      <c r="T466" s="107"/>
      <c r="U466" s="107"/>
      <c r="V466" s="107"/>
      <c r="W466" s="107"/>
      <c r="X466" s="107"/>
      <c r="Y466" s="107"/>
      <c r="Z466" s="107"/>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13"/>
      <c r="BK466" s="213"/>
    </row>
    <row r="467" spans="1:63" ht="12.75" hidden="1" customHeight="1" outlineLevel="1">
      <c r="A467" s="9"/>
      <c r="B467" s="46"/>
      <c r="C467" s="130" t="str">
        <f>Asset6</f>
        <v>Non-network general assets - IT</v>
      </c>
      <c r="D467" s="9"/>
      <c r="E467" s="9"/>
      <c r="F467" s="142"/>
      <c r="G467" s="193">
        <f>Input!P12</f>
        <v>0</v>
      </c>
      <c r="H467" s="121"/>
      <c r="I467" s="121"/>
      <c r="J467" s="121"/>
      <c r="K467" s="121"/>
      <c r="L467" s="121"/>
      <c r="M467" s="107"/>
      <c r="N467" s="107"/>
      <c r="O467" s="107"/>
      <c r="P467" s="107"/>
      <c r="Q467" s="107"/>
      <c r="R467" s="107"/>
      <c r="S467" s="107"/>
      <c r="T467" s="107"/>
      <c r="U467" s="107"/>
      <c r="V467" s="107"/>
      <c r="W467" s="107"/>
      <c r="X467" s="107"/>
      <c r="Y467" s="107"/>
      <c r="Z467" s="107"/>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13"/>
      <c r="BK467" s="213"/>
    </row>
    <row r="468" spans="1:63" ht="12.75" hidden="1" customHeight="1" outlineLevel="1">
      <c r="A468" s="9"/>
      <c r="B468" s="46"/>
      <c r="C468" s="130" t="str">
        <f>Asset7</f>
        <v>Non-network general assets - Other</v>
      </c>
      <c r="D468" s="9"/>
      <c r="E468" s="9"/>
      <c r="F468" s="142"/>
      <c r="G468" s="193">
        <f>Input!P13</f>
        <v>0</v>
      </c>
      <c r="H468" s="121"/>
      <c r="I468" s="121"/>
      <c r="J468" s="121"/>
      <c r="K468" s="121"/>
      <c r="L468" s="121"/>
      <c r="M468" s="107"/>
      <c r="N468" s="107"/>
      <c r="O468" s="107"/>
      <c r="P468" s="107"/>
      <c r="Q468" s="107"/>
      <c r="R468" s="107"/>
      <c r="S468" s="107"/>
      <c r="T468" s="107"/>
      <c r="U468" s="107"/>
      <c r="V468" s="107"/>
      <c r="W468" s="107"/>
      <c r="X468" s="107"/>
      <c r="Y468" s="107"/>
      <c r="Z468" s="107"/>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c r="BI468" s="209"/>
      <c r="BJ468" s="213"/>
      <c r="BK468" s="213"/>
    </row>
    <row r="469" spans="1:63" ht="12.75" hidden="1" customHeight="1" outlineLevel="1">
      <c r="A469" s="9"/>
      <c r="B469" s="46"/>
      <c r="C469" s="130" t="str">
        <f>Asset8</f>
        <v>VBRC</v>
      </c>
      <c r="D469" s="9"/>
      <c r="E469" s="9"/>
      <c r="F469" s="142"/>
      <c r="G469" s="193">
        <f>Input!P14</f>
        <v>0</v>
      </c>
      <c r="H469" s="121"/>
      <c r="I469" s="121"/>
      <c r="J469" s="121"/>
      <c r="K469" s="121"/>
      <c r="L469" s="121"/>
      <c r="M469" s="107"/>
      <c r="N469" s="107"/>
      <c r="O469" s="107"/>
      <c r="P469" s="107"/>
      <c r="Q469" s="107"/>
      <c r="R469" s="107"/>
      <c r="S469" s="107"/>
      <c r="T469" s="107"/>
      <c r="U469" s="107"/>
      <c r="V469" s="107"/>
      <c r="W469" s="107"/>
      <c r="X469" s="107"/>
      <c r="Y469" s="107"/>
      <c r="Z469" s="107"/>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13"/>
      <c r="BK469" s="213"/>
    </row>
    <row r="470" spans="1:63" ht="12.75" hidden="1" customHeight="1" outlineLevel="1">
      <c r="A470" s="9"/>
      <c r="B470" s="46"/>
      <c r="C470" s="130" t="str">
        <f>Asset9</f>
        <v>Equity raising</v>
      </c>
      <c r="D470" s="9"/>
      <c r="E470" s="9"/>
      <c r="F470" s="142"/>
      <c r="G470" s="193">
        <f>Input!P15</f>
        <v>0</v>
      </c>
      <c r="H470" s="121"/>
      <c r="I470" s="121"/>
      <c r="J470" s="121"/>
      <c r="K470" s="121"/>
      <c r="L470" s="121"/>
      <c r="M470" s="107"/>
      <c r="N470" s="107"/>
      <c r="O470" s="107"/>
      <c r="P470" s="107"/>
      <c r="Q470" s="107"/>
      <c r="R470" s="107"/>
      <c r="S470" s="107"/>
      <c r="T470" s="107"/>
      <c r="U470" s="107"/>
      <c r="V470" s="107"/>
      <c r="W470" s="107"/>
      <c r="X470" s="107"/>
      <c r="Y470" s="107"/>
      <c r="Z470" s="107"/>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c r="BI470" s="209"/>
      <c r="BJ470" s="213"/>
      <c r="BK470" s="213"/>
    </row>
    <row r="471" spans="1:63" ht="12.75" hidden="1" customHeight="1" outlineLevel="1">
      <c r="A471" s="9"/>
      <c r="B471" s="46"/>
      <c r="C471" s="130">
        <f>Asset10</f>
        <v>0</v>
      </c>
      <c r="D471" s="9"/>
      <c r="E471" s="9"/>
      <c r="F471" s="142"/>
      <c r="G471" s="193">
        <f>Input!P16</f>
        <v>0</v>
      </c>
      <c r="H471" s="121"/>
      <c r="I471" s="121"/>
      <c r="J471" s="121"/>
      <c r="K471" s="121"/>
      <c r="L471" s="121"/>
      <c r="M471" s="107"/>
      <c r="N471" s="107"/>
      <c r="O471" s="107"/>
      <c r="P471" s="107"/>
      <c r="Q471" s="107"/>
      <c r="R471" s="107"/>
      <c r="S471" s="107"/>
      <c r="T471" s="107"/>
      <c r="U471" s="107"/>
      <c r="V471" s="107"/>
      <c r="W471" s="107"/>
      <c r="X471" s="107"/>
      <c r="Y471" s="107"/>
      <c r="Z471" s="107"/>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13"/>
      <c r="BK471" s="213"/>
    </row>
    <row r="472" spans="1:63" ht="12.75" hidden="1" customHeight="1" outlineLevel="1">
      <c r="A472" s="9"/>
      <c r="B472" s="46"/>
      <c r="C472" s="130">
        <f>Asset11</f>
        <v>0</v>
      </c>
      <c r="D472" s="9"/>
      <c r="E472" s="9"/>
      <c r="F472" s="142"/>
      <c r="G472" s="193">
        <f>Input!P17</f>
        <v>0</v>
      </c>
      <c r="H472" s="121"/>
      <c r="I472" s="121"/>
      <c r="J472" s="121"/>
      <c r="K472" s="121"/>
      <c r="L472" s="121"/>
      <c r="M472" s="107"/>
      <c r="N472" s="107"/>
      <c r="O472" s="107"/>
      <c r="P472" s="107"/>
      <c r="Q472" s="107"/>
      <c r="R472" s="107"/>
      <c r="S472" s="107"/>
      <c r="T472" s="107"/>
      <c r="U472" s="107"/>
      <c r="V472" s="107"/>
      <c r="W472" s="107"/>
      <c r="X472" s="107"/>
      <c r="Y472" s="107"/>
      <c r="Z472" s="107"/>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13"/>
      <c r="BK472" s="213"/>
    </row>
    <row r="473" spans="1:63" ht="12.75" hidden="1" customHeight="1" outlineLevel="1">
      <c r="A473" s="9"/>
      <c r="B473" s="46"/>
      <c r="C473" s="130">
        <f>Asset12</f>
        <v>0</v>
      </c>
      <c r="D473" s="9"/>
      <c r="E473" s="9"/>
      <c r="F473" s="142"/>
      <c r="G473" s="193">
        <f>Input!P18</f>
        <v>0</v>
      </c>
      <c r="H473" s="121"/>
      <c r="I473" s="121"/>
      <c r="J473" s="121"/>
      <c r="K473" s="121"/>
      <c r="L473" s="121"/>
      <c r="M473" s="107"/>
      <c r="N473" s="107"/>
      <c r="O473" s="107"/>
      <c r="P473" s="107"/>
      <c r="Q473" s="107"/>
      <c r="R473" s="107"/>
      <c r="S473" s="107"/>
      <c r="T473" s="107"/>
      <c r="U473" s="107"/>
      <c r="V473" s="107"/>
      <c r="W473" s="107"/>
      <c r="X473" s="107"/>
      <c r="Y473" s="107"/>
      <c r="Z473" s="107"/>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13"/>
      <c r="BK473" s="213"/>
    </row>
    <row r="474" spans="1:63" ht="12.75" hidden="1" customHeight="1" outlineLevel="1">
      <c r="A474" s="9"/>
      <c r="B474" s="46"/>
      <c r="C474" s="130">
        <f>Asset13</f>
        <v>0</v>
      </c>
      <c r="D474" s="9"/>
      <c r="E474" s="9"/>
      <c r="F474" s="142"/>
      <c r="G474" s="193">
        <f>Input!P19</f>
        <v>0</v>
      </c>
      <c r="H474" s="121"/>
      <c r="I474" s="121"/>
      <c r="J474" s="121"/>
      <c r="K474" s="121"/>
      <c r="L474" s="121"/>
      <c r="M474" s="107"/>
      <c r="N474" s="107"/>
      <c r="O474" s="107"/>
      <c r="P474" s="107"/>
      <c r="Q474" s="107"/>
      <c r="R474" s="107"/>
      <c r="S474" s="107"/>
      <c r="T474" s="107"/>
      <c r="U474" s="107"/>
      <c r="V474" s="107"/>
      <c r="W474" s="107"/>
      <c r="X474" s="107"/>
      <c r="Y474" s="107"/>
      <c r="Z474" s="107"/>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13"/>
      <c r="BK474" s="213"/>
    </row>
    <row r="475" spans="1:63" ht="12.75" hidden="1" customHeight="1" outlineLevel="1">
      <c r="A475" s="9"/>
      <c r="B475" s="46"/>
      <c r="C475" s="130">
        <f>Asset14</f>
        <v>0</v>
      </c>
      <c r="D475" s="9"/>
      <c r="E475" s="9"/>
      <c r="F475" s="142"/>
      <c r="G475" s="193">
        <f>Input!P20</f>
        <v>0</v>
      </c>
      <c r="H475" s="121"/>
      <c r="I475" s="121"/>
      <c r="J475" s="121"/>
      <c r="K475" s="121"/>
      <c r="L475" s="121"/>
      <c r="M475" s="107"/>
      <c r="N475" s="107"/>
      <c r="O475" s="107"/>
      <c r="P475" s="107"/>
      <c r="Q475" s="107"/>
      <c r="R475" s="107"/>
      <c r="S475" s="107"/>
      <c r="T475" s="107"/>
      <c r="U475" s="107"/>
      <c r="V475" s="107"/>
      <c r="W475" s="107"/>
      <c r="X475" s="107"/>
      <c r="Y475" s="107"/>
      <c r="Z475" s="107"/>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13"/>
      <c r="BK475" s="213"/>
    </row>
    <row r="476" spans="1:63" ht="12.75" hidden="1" customHeight="1" outlineLevel="1">
      <c r="A476" s="9"/>
      <c r="B476" s="46"/>
      <c r="C476" s="130">
        <f>Asset15</f>
        <v>0</v>
      </c>
      <c r="D476" s="9"/>
      <c r="E476" s="9"/>
      <c r="F476" s="142"/>
      <c r="G476" s="193">
        <f>Input!P21</f>
        <v>0</v>
      </c>
      <c r="H476" s="121"/>
      <c r="I476" s="121"/>
      <c r="J476" s="121"/>
      <c r="K476" s="121"/>
      <c r="L476" s="121"/>
      <c r="M476" s="107"/>
      <c r="N476" s="107"/>
      <c r="O476" s="107"/>
      <c r="P476" s="107"/>
      <c r="Q476" s="107"/>
      <c r="R476" s="107"/>
      <c r="S476" s="107"/>
      <c r="T476" s="107"/>
      <c r="U476" s="107"/>
      <c r="V476" s="107"/>
      <c r="W476" s="107"/>
      <c r="X476" s="107"/>
      <c r="Y476" s="107"/>
      <c r="Z476" s="107"/>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13"/>
      <c r="BK476" s="213"/>
    </row>
    <row r="477" spans="1:63" ht="12.75" hidden="1" customHeight="1" outlineLevel="1">
      <c r="A477" s="9"/>
      <c r="B477" s="46"/>
      <c r="C477" s="130">
        <f>Asset16</f>
        <v>0</v>
      </c>
      <c r="D477" s="9"/>
      <c r="E477" s="9"/>
      <c r="F477" s="142"/>
      <c r="G477" s="193">
        <f>Input!P22</f>
        <v>0</v>
      </c>
      <c r="H477" s="121"/>
      <c r="I477" s="121"/>
      <c r="J477" s="121"/>
      <c r="K477" s="121"/>
      <c r="L477" s="121"/>
      <c r="M477" s="107"/>
      <c r="N477" s="107"/>
      <c r="O477" s="107"/>
      <c r="P477" s="107"/>
      <c r="Q477" s="107"/>
      <c r="R477" s="107"/>
      <c r="S477" s="107"/>
      <c r="T477" s="107"/>
      <c r="U477" s="107"/>
      <c r="V477" s="107"/>
      <c r="W477" s="107"/>
      <c r="X477" s="107"/>
      <c r="Y477" s="107"/>
      <c r="Z477" s="107"/>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13"/>
      <c r="BK477" s="213"/>
    </row>
    <row r="478" spans="1:63" ht="12.75" hidden="1" customHeight="1" outlineLevel="1">
      <c r="A478" s="9"/>
      <c r="B478" s="46"/>
      <c r="C478" s="130">
        <f>Asset17</f>
        <v>0</v>
      </c>
      <c r="D478" s="9"/>
      <c r="E478" s="9"/>
      <c r="F478" s="142"/>
      <c r="G478" s="193">
        <f>Input!P23</f>
        <v>0</v>
      </c>
      <c r="H478" s="121"/>
      <c r="I478" s="121"/>
      <c r="J478" s="121"/>
      <c r="K478" s="121"/>
      <c r="L478" s="121"/>
      <c r="M478" s="107"/>
      <c r="N478" s="107"/>
      <c r="O478" s="107"/>
      <c r="P478" s="107"/>
      <c r="Q478" s="107"/>
      <c r="R478" s="107"/>
      <c r="S478" s="107"/>
      <c r="T478" s="107"/>
      <c r="U478" s="107"/>
      <c r="V478" s="107"/>
      <c r="W478" s="107"/>
      <c r="X478" s="107"/>
      <c r="Y478" s="107"/>
      <c r="Z478" s="107"/>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13"/>
      <c r="BK478" s="213"/>
    </row>
    <row r="479" spans="1:63" ht="12.75" hidden="1" customHeight="1" outlineLevel="1">
      <c r="A479" s="9"/>
      <c r="B479" s="46"/>
      <c r="C479" s="130">
        <f>Asset18</f>
        <v>0</v>
      </c>
      <c r="D479" s="9"/>
      <c r="E479" s="9"/>
      <c r="F479" s="142"/>
      <c r="G479" s="193">
        <f>Input!P24</f>
        <v>0</v>
      </c>
      <c r="H479" s="121"/>
      <c r="I479" s="121"/>
      <c r="J479" s="121"/>
      <c r="K479" s="121"/>
      <c r="L479" s="121"/>
      <c r="M479" s="107"/>
      <c r="N479" s="107"/>
      <c r="O479" s="107"/>
      <c r="P479" s="107"/>
      <c r="Q479" s="107"/>
      <c r="R479" s="107"/>
      <c r="S479" s="107"/>
      <c r="T479" s="107"/>
      <c r="U479" s="107"/>
      <c r="V479" s="107"/>
      <c r="W479" s="107"/>
      <c r="X479" s="107"/>
      <c r="Y479" s="107"/>
      <c r="Z479" s="107"/>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13"/>
      <c r="BK479" s="213"/>
    </row>
    <row r="480" spans="1:63" ht="12.75" hidden="1" customHeight="1" outlineLevel="1">
      <c r="A480" s="9"/>
      <c r="B480" s="46"/>
      <c r="C480" s="130">
        <f>Asset19</f>
        <v>0</v>
      </c>
      <c r="D480" s="9"/>
      <c r="E480" s="9"/>
      <c r="F480" s="142"/>
      <c r="G480" s="193">
        <f>Input!P25</f>
        <v>0</v>
      </c>
      <c r="H480" s="121"/>
      <c r="I480" s="121"/>
      <c r="J480" s="121"/>
      <c r="K480" s="121"/>
      <c r="L480" s="121"/>
      <c r="M480" s="107"/>
      <c r="N480" s="107"/>
      <c r="O480" s="107"/>
      <c r="P480" s="107"/>
      <c r="Q480" s="107"/>
      <c r="R480" s="107"/>
      <c r="S480" s="107"/>
      <c r="T480" s="107"/>
      <c r="U480" s="107"/>
      <c r="V480" s="107"/>
      <c r="W480" s="107"/>
      <c r="X480" s="107"/>
      <c r="Y480" s="107"/>
      <c r="Z480" s="107"/>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13"/>
      <c r="BK480" s="213"/>
    </row>
    <row r="481" spans="1:63" ht="12.75" hidden="1" customHeight="1" outlineLevel="1">
      <c r="A481" s="9"/>
      <c r="B481" s="46"/>
      <c r="C481" s="130">
        <f>Asset20</f>
        <v>0</v>
      </c>
      <c r="D481" s="9"/>
      <c r="E481" s="9"/>
      <c r="F481" s="142"/>
      <c r="G481" s="193">
        <f>Input!P26</f>
        <v>0</v>
      </c>
      <c r="H481" s="121"/>
      <c r="I481" s="121"/>
      <c r="J481" s="121"/>
      <c r="K481" s="121"/>
      <c r="L481" s="121"/>
      <c r="M481" s="107"/>
      <c r="N481" s="107"/>
      <c r="O481" s="107"/>
      <c r="P481" s="107"/>
      <c r="Q481" s="107"/>
      <c r="R481" s="107"/>
      <c r="S481" s="107"/>
      <c r="T481" s="107"/>
      <c r="U481" s="107"/>
      <c r="V481" s="107"/>
      <c r="W481" s="107"/>
      <c r="X481" s="107"/>
      <c r="Y481" s="107"/>
      <c r="Z481" s="107"/>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13"/>
      <c r="BK481" s="213"/>
    </row>
    <row r="482" spans="1:63" ht="12.75" hidden="1" customHeight="1" outlineLevel="1">
      <c r="A482" s="9"/>
      <c r="B482" s="46"/>
      <c r="C482" s="130">
        <f>Asset21</f>
        <v>0</v>
      </c>
      <c r="D482" s="9"/>
      <c r="E482" s="9"/>
      <c r="F482" s="142"/>
      <c r="G482" s="193">
        <f>Input!P27</f>
        <v>0</v>
      </c>
      <c r="H482" s="121"/>
      <c r="I482" s="121"/>
      <c r="J482" s="121"/>
      <c r="K482" s="121"/>
      <c r="L482" s="121"/>
      <c r="M482" s="107"/>
      <c r="N482" s="107"/>
      <c r="O482" s="107"/>
      <c r="P482" s="107"/>
      <c r="Q482" s="107"/>
      <c r="R482" s="107"/>
      <c r="S482" s="107"/>
      <c r="T482" s="107"/>
      <c r="U482" s="107"/>
      <c r="V482" s="107"/>
      <c r="W482" s="107"/>
      <c r="X482" s="107"/>
      <c r="Y482" s="107"/>
      <c r="Z482" s="107"/>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13"/>
      <c r="BK482" s="213"/>
    </row>
    <row r="483" spans="1:63" ht="12.75" hidden="1" customHeight="1" outlineLevel="1">
      <c r="A483" s="9"/>
      <c r="B483" s="46"/>
      <c r="C483" s="130">
        <f>Asset22</f>
        <v>0</v>
      </c>
      <c r="D483" s="9"/>
      <c r="E483" s="9"/>
      <c r="F483" s="142"/>
      <c r="G483" s="193">
        <f>Input!P28</f>
        <v>0</v>
      </c>
      <c r="H483" s="121"/>
      <c r="I483" s="121"/>
      <c r="J483" s="121"/>
      <c r="K483" s="121"/>
      <c r="L483" s="121"/>
      <c r="M483" s="107"/>
      <c r="N483" s="107"/>
      <c r="O483" s="107"/>
      <c r="P483" s="107"/>
      <c r="Q483" s="107"/>
      <c r="R483" s="107"/>
      <c r="S483" s="107"/>
      <c r="T483" s="107"/>
      <c r="U483" s="107"/>
      <c r="V483" s="107"/>
      <c r="W483" s="107"/>
      <c r="X483" s="107"/>
      <c r="Y483" s="107"/>
      <c r="Z483" s="107"/>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3"/>
      <c r="BK483" s="213"/>
    </row>
    <row r="484" spans="1:63" ht="12.75" hidden="1" customHeight="1" outlineLevel="1">
      <c r="A484" s="9"/>
      <c r="B484" s="46"/>
      <c r="C484" s="130">
        <f>Asset23</f>
        <v>0</v>
      </c>
      <c r="D484" s="9"/>
      <c r="E484" s="9"/>
      <c r="F484" s="142"/>
      <c r="G484" s="193">
        <f>Input!P29</f>
        <v>0</v>
      </c>
      <c r="H484" s="121"/>
      <c r="I484" s="121"/>
      <c r="J484" s="121"/>
      <c r="K484" s="121"/>
      <c r="L484" s="121"/>
      <c r="M484" s="107"/>
      <c r="N484" s="107"/>
      <c r="O484" s="107"/>
      <c r="P484" s="107"/>
      <c r="Q484" s="107"/>
      <c r="R484" s="107"/>
      <c r="S484" s="107"/>
      <c r="T484" s="107"/>
      <c r="U484" s="107"/>
      <c r="V484" s="107"/>
      <c r="W484" s="107"/>
      <c r="X484" s="107"/>
      <c r="Y484" s="107"/>
      <c r="Z484" s="107"/>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13"/>
      <c r="BK484" s="213"/>
    </row>
    <row r="485" spans="1:63" ht="12.75" hidden="1" customHeight="1" outlineLevel="1">
      <c r="A485" s="9"/>
      <c r="B485" s="46"/>
      <c r="C485" s="130">
        <f>Asset24</f>
        <v>0</v>
      </c>
      <c r="D485" s="9"/>
      <c r="E485" s="9"/>
      <c r="F485" s="142"/>
      <c r="G485" s="193">
        <f>Input!P30</f>
        <v>0</v>
      </c>
      <c r="H485" s="121"/>
      <c r="I485" s="121"/>
      <c r="J485" s="121"/>
      <c r="K485" s="121"/>
      <c r="L485" s="121"/>
      <c r="M485" s="107"/>
      <c r="N485" s="107"/>
      <c r="O485" s="107"/>
      <c r="P485" s="107"/>
      <c r="Q485" s="107"/>
      <c r="R485" s="107"/>
      <c r="S485" s="107"/>
      <c r="T485" s="107"/>
      <c r="U485" s="107"/>
      <c r="V485" s="107"/>
      <c r="W485" s="107"/>
      <c r="X485" s="107"/>
      <c r="Y485" s="107"/>
      <c r="Z485" s="107"/>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13"/>
      <c r="BK485" s="213"/>
    </row>
    <row r="486" spans="1:63" ht="12.75" hidden="1" customHeight="1" outlineLevel="1">
      <c r="A486" s="9"/>
      <c r="B486" s="46"/>
      <c r="C486" s="130">
        <f>Asset25</f>
        <v>0</v>
      </c>
      <c r="D486" s="9"/>
      <c r="E486" s="9"/>
      <c r="F486" s="142"/>
      <c r="G486" s="193">
        <f>Input!P31</f>
        <v>0</v>
      </c>
      <c r="H486" s="121"/>
      <c r="I486" s="121"/>
      <c r="J486" s="121"/>
      <c r="K486" s="121"/>
      <c r="L486" s="121"/>
      <c r="M486" s="107"/>
      <c r="N486" s="107"/>
      <c r="O486" s="107"/>
      <c r="P486" s="107"/>
      <c r="Q486" s="107"/>
      <c r="R486" s="107"/>
      <c r="S486" s="107"/>
      <c r="T486" s="107"/>
      <c r="U486" s="107"/>
      <c r="V486" s="107"/>
      <c r="W486" s="107"/>
      <c r="X486" s="107"/>
      <c r="Y486" s="107"/>
      <c r="Z486" s="107"/>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13"/>
      <c r="BK486" s="213"/>
    </row>
    <row r="487" spans="1:63" ht="12.75" hidden="1" customHeight="1" outlineLevel="1">
      <c r="A487" s="9"/>
      <c r="B487" s="46"/>
      <c r="C487" s="130">
        <f>Asset26</f>
        <v>0</v>
      </c>
      <c r="D487" s="9"/>
      <c r="E487" s="9"/>
      <c r="F487" s="142"/>
      <c r="G487" s="193">
        <f>Input!P32</f>
        <v>0</v>
      </c>
      <c r="H487" s="121"/>
      <c r="I487" s="121"/>
      <c r="J487" s="121"/>
      <c r="K487" s="121"/>
      <c r="L487" s="121"/>
      <c r="M487" s="107"/>
      <c r="N487" s="107"/>
      <c r="O487" s="107"/>
      <c r="P487" s="107"/>
      <c r="Q487" s="107"/>
      <c r="R487" s="107"/>
      <c r="S487" s="107"/>
      <c r="T487" s="107"/>
      <c r="U487" s="107"/>
      <c r="V487" s="107"/>
      <c r="W487" s="107"/>
      <c r="X487" s="107"/>
      <c r="Y487" s="107"/>
      <c r="Z487" s="107"/>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13"/>
      <c r="BK487" s="213"/>
    </row>
    <row r="488" spans="1:63" ht="12.75" hidden="1" customHeight="1" outlineLevel="1">
      <c r="A488" s="9"/>
      <c r="B488" s="46"/>
      <c r="C488" s="130">
        <f>Asset27</f>
        <v>0</v>
      </c>
      <c r="D488" s="9"/>
      <c r="E488" s="9"/>
      <c r="F488" s="142"/>
      <c r="G488" s="193">
        <f>Input!P33</f>
        <v>0</v>
      </c>
      <c r="H488" s="121"/>
      <c r="I488" s="121"/>
      <c r="J488" s="121"/>
      <c r="K488" s="121"/>
      <c r="L488" s="121"/>
      <c r="M488" s="107"/>
      <c r="N488" s="107"/>
      <c r="O488" s="107"/>
      <c r="P488" s="107"/>
      <c r="Q488" s="107"/>
      <c r="R488" s="107"/>
      <c r="S488" s="107"/>
      <c r="T488" s="107"/>
      <c r="U488" s="107"/>
      <c r="V488" s="107"/>
      <c r="W488" s="107"/>
      <c r="X488" s="107"/>
      <c r="Y488" s="107"/>
      <c r="Z488" s="107"/>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13"/>
      <c r="BK488" s="213"/>
    </row>
    <row r="489" spans="1:63" ht="12.75" hidden="1" customHeight="1" outlineLevel="1">
      <c r="A489" s="9"/>
      <c r="B489" s="46"/>
      <c r="C489" s="130">
        <f>Asset28</f>
        <v>0</v>
      </c>
      <c r="D489" s="9"/>
      <c r="E489" s="9"/>
      <c r="F489" s="142"/>
      <c r="G489" s="193">
        <f>Input!P34</f>
        <v>0</v>
      </c>
      <c r="H489" s="121"/>
      <c r="I489" s="121"/>
      <c r="J489" s="121"/>
      <c r="K489" s="121"/>
      <c r="L489" s="121"/>
      <c r="M489" s="107"/>
      <c r="N489" s="107"/>
      <c r="O489" s="107"/>
      <c r="P489" s="107"/>
      <c r="Q489" s="107"/>
      <c r="R489" s="107"/>
      <c r="S489" s="107"/>
      <c r="T489" s="107"/>
      <c r="U489" s="107"/>
      <c r="V489" s="107"/>
      <c r="W489" s="107"/>
      <c r="X489" s="107"/>
      <c r="Y489" s="107"/>
      <c r="Z489" s="107"/>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13"/>
      <c r="BK489" s="213"/>
    </row>
    <row r="490" spans="1:63" ht="12.75" hidden="1" customHeight="1" outlineLevel="1">
      <c r="A490" s="9"/>
      <c r="B490" s="46"/>
      <c r="C490" s="130">
        <f>Asset29</f>
        <v>0</v>
      </c>
      <c r="D490" s="9"/>
      <c r="E490" s="9"/>
      <c r="F490" s="142"/>
      <c r="G490" s="193">
        <f>Input!P35</f>
        <v>0</v>
      </c>
      <c r="H490" s="121"/>
      <c r="I490" s="121"/>
      <c r="J490" s="121"/>
      <c r="K490" s="121"/>
      <c r="L490" s="121"/>
      <c r="M490" s="107"/>
      <c r="N490" s="107"/>
      <c r="O490" s="107"/>
      <c r="P490" s="107"/>
      <c r="Q490" s="107"/>
      <c r="R490" s="107"/>
      <c r="S490" s="107"/>
      <c r="T490" s="107"/>
      <c r="U490" s="107"/>
      <c r="V490" s="107"/>
      <c r="W490" s="107"/>
      <c r="X490" s="107"/>
      <c r="Y490" s="107"/>
      <c r="Z490" s="107"/>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13"/>
      <c r="BK490" s="213"/>
    </row>
    <row r="491" spans="1:63" ht="12.75" hidden="1" customHeight="1" outlineLevel="1">
      <c r="A491" s="9"/>
      <c r="B491" s="46"/>
      <c r="C491" s="130">
        <f>Asset30</f>
        <v>0</v>
      </c>
      <c r="D491" s="9"/>
      <c r="E491" s="9"/>
      <c r="F491" s="142"/>
      <c r="G491" s="193">
        <f>Input!P36</f>
        <v>0</v>
      </c>
      <c r="H491" s="121"/>
      <c r="I491" s="121"/>
      <c r="J491" s="121"/>
      <c r="K491" s="121"/>
      <c r="L491" s="121"/>
      <c r="M491" s="107"/>
      <c r="N491" s="107"/>
      <c r="O491" s="107"/>
      <c r="P491" s="107"/>
      <c r="Q491" s="107"/>
      <c r="R491" s="107"/>
      <c r="S491" s="107"/>
      <c r="T491" s="107"/>
      <c r="U491" s="107"/>
      <c r="V491" s="107"/>
      <c r="W491" s="107"/>
      <c r="X491" s="107"/>
      <c r="Y491" s="107"/>
      <c r="Z491" s="107"/>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13"/>
      <c r="BK491" s="213"/>
    </row>
    <row r="492" spans="1:63" collapsed="1">
      <c r="A492" s="9"/>
      <c r="B492" s="46"/>
      <c r="C492" s="130"/>
      <c r="D492" s="9"/>
      <c r="E492" s="9"/>
      <c r="F492" s="142"/>
      <c r="G492" s="193"/>
      <c r="H492" s="121"/>
      <c r="I492" s="121"/>
      <c r="J492" s="121"/>
      <c r="K492" s="121"/>
      <c r="L492" s="121"/>
      <c r="M492" s="107"/>
      <c r="N492" s="107"/>
      <c r="O492" s="107"/>
      <c r="P492" s="107"/>
      <c r="Q492" s="107"/>
      <c r="R492" s="107"/>
      <c r="S492" s="107"/>
      <c r="T492" s="107"/>
      <c r="U492" s="107"/>
      <c r="V492" s="107"/>
      <c r="W492" s="107"/>
      <c r="X492" s="107"/>
      <c r="Y492" s="107"/>
      <c r="Z492" s="107"/>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13"/>
      <c r="BK492" s="213"/>
    </row>
    <row r="493" spans="1:63">
      <c r="A493" s="9"/>
      <c r="B493" s="46" t="s">
        <v>62</v>
      </c>
      <c r="C493" s="130"/>
      <c r="D493" s="9"/>
      <c r="E493" s="9"/>
      <c r="F493" s="28"/>
      <c r="G493" s="197">
        <f>SUM(G494:G523)</f>
        <v>0</v>
      </c>
      <c r="H493" s="121"/>
      <c r="I493" s="121"/>
      <c r="J493" s="121"/>
      <c r="K493" s="121"/>
      <c r="L493" s="121"/>
      <c r="M493" s="107"/>
      <c r="N493" s="107"/>
      <c r="O493" s="107"/>
      <c r="P493" s="107"/>
      <c r="Q493" s="107"/>
      <c r="R493" s="107"/>
      <c r="S493" s="107"/>
      <c r="T493" s="107"/>
      <c r="U493" s="107"/>
      <c r="V493" s="107"/>
      <c r="W493" s="107"/>
      <c r="X493" s="107"/>
      <c r="Y493" s="107"/>
      <c r="Z493" s="107"/>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13"/>
      <c r="BK493" s="213"/>
    </row>
    <row r="494" spans="1:63" ht="12.75" hidden="1" customHeight="1" outlineLevel="1">
      <c r="A494" s="9"/>
      <c r="B494" s="46"/>
      <c r="C494" s="130" t="str">
        <f>Asset1</f>
        <v>Subtransmission</v>
      </c>
      <c r="D494" s="9"/>
      <c r="E494" s="9"/>
      <c r="F494" s="28"/>
      <c r="G494" s="196">
        <f>Input!Q7</f>
        <v>0</v>
      </c>
      <c r="H494" s="121"/>
      <c r="I494" s="121"/>
      <c r="J494" s="121"/>
      <c r="K494" s="121"/>
      <c r="L494" s="121"/>
      <c r="M494" s="107"/>
      <c r="N494" s="107"/>
      <c r="O494" s="107"/>
      <c r="P494" s="107"/>
      <c r="Q494" s="107"/>
      <c r="R494" s="107"/>
      <c r="S494" s="107"/>
      <c r="T494" s="107"/>
      <c r="U494" s="107"/>
      <c r="V494" s="107"/>
      <c r="W494" s="107"/>
      <c r="X494" s="107"/>
      <c r="Y494" s="107"/>
      <c r="Z494" s="107"/>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c r="BI494" s="209"/>
      <c r="BJ494" s="213"/>
      <c r="BK494" s="213"/>
    </row>
    <row r="495" spans="1:63" ht="12.75" hidden="1" customHeight="1" outlineLevel="1">
      <c r="A495" s="9"/>
      <c r="B495" s="46"/>
      <c r="C495" s="130" t="str">
        <f>Asset2</f>
        <v>Distribution system assets</v>
      </c>
      <c r="D495" s="9"/>
      <c r="E495" s="9"/>
      <c r="F495" s="28"/>
      <c r="G495" s="196">
        <f>Input!Q8</f>
        <v>0</v>
      </c>
      <c r="H495" s="121"/>
      <c r="I495" s="121"/>
      <c r="J495" s="121"/>
      <c r="K495" s="121"/>
      <c r="L495" s="121"/>
      <c r="M495" s="107"/>
      <c r="N495" s="107"/>
      <c r="O495" s="107"/>
      <c r="P495" s="107"/>
      <c r="Q495" s="107"/>
      <c r="R495" s="107"/>
      <c r="S495" s="107"/>
      <c r="T495" s="107"/>
      <c r="U495" s="107"/>
      <c r="V495" s="107"/>
      <c r="W495" s="107"/>
      <c r="X495" s="107"/>
      <c r="Y495" s="107"/>
      <c r="Z495" s="107"/>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13"/>
      <c r="BK495" s="213"/>
    </row>
    <row r="496" spans="1:63" ht="12.75" hidden="1" customHeight="1" outlineLevel="1">
      <c r="A496" s="9"/>
      <c r="B496" s="46"/>
      <c r="C496" s="130" t="str">
        <f>Asset3</f>
        <v>Standard metering</v>
      </c>
      <c r="D496" s="9"/>
      <c r="E496" s="9"/>
      <c r="F496" s="28"/>
      <c r="G496" s="196">
        <f>Input!Q9</f>
        <v>0</v>
      </c>
      <c r="H496" s="121"/>
      <c r="I496" s="121"/>
      <c r="J496" s="121"/>
      <c r="K496" s="121"/>
      <c r="L496" s="121"/>
      <c r="M496" s="107"/>
      <c r="N496" s="107"/>
      <c r="O496" s="107"/>
      <c r="P496" s="107"/>
      <c r="Q496" s="107"/>
      <c r="R496" s="107"/>
      <c r="S496" s="107"/>
      <c r="T496" s="107"/>
      <c r="U496" s="107"/>
      <c r="V496" s="107"/>
      <c r="W496" s="107"/>
      <c r="X496" s="107"/>
      <c r="Y496" s="107"/>
      <c r="Z496" s="107"/>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13"/>
      <c r="BK496" s="213"/>
    </row>
    <row r="497" spans="1:63" ht="12.75" hidden="1" customHeight="1" outlineLevel="1">
      <c r="A497" s="9"/>
      <c r="B497" s="46"/>
      <c r="C497" s="130" t="str">
        <f>Asset4</f>
        <v>Public lighting</v>
      </c>
      <c r="D497" s="9"/>
      <c r="E497" s="9"/>
      <c r="F497" s="28"/>
      <c r="G497" s="196">
        <f>Input!Q10</f>
        <v>0</v>
      </c>
      <c r="H497" s="121"/>
      <c r="I497" s="121"/>
      <c r="J497" s="121"/>
      <c r="K497" s="121"/>
      <c r="L497" s="121"/>
      <c r="M497" s="107"/>
      <c r="N497" s="107"/>
      <c r="O497" s="107"/>
      <c r="P497" s="107"/>
      <c r="Q497" s="107"/>
      <c r="R497" s="107"/>
      <c r="S497" s="107"/>
      <c r="T497" s="107"/>
      <c r="U497" s="107"/>
      <c r="V497" s="107"/>
      <c r="W497" s="107"/>
      <c r="X497" s="107"/>
      <c r="Y497" s="107"/>
      <c r="Z497" s="107"/>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13"/>
      <c r="BK497" s="213"/>
    </row>
    <row r="498" spans="1:63" ht="12.75" hidden="1" customHeight="1" outlineLevel="1">
      <c r="A498" s="9"/>
      <c r="B498" s="46"/>
      <c r="C498" s="130" t="str">
        <f>Asset5</f>
        <v>SCADA/Network control</v>
      </c>
      <c r="D498" s="9"/>
      <c r="E498" s="9"/>
      <c r="F498" s="28"/>
      <c r="G498" s="196">
        <f>Input!Q11</f>
        <v>0</v>
      </c>
      <c r="H498" s="121"/>
      <c r="I498" s="121"/>
      <c r="J498" s="121"/>
      <c r="K498" s="121"/>
      <c r="L498" s="121"/>
      <c r="M498" s="107"/>
      <c r="N498" s="107"/>
      <c r="O498" s="107"/>
      <c r="P498" s="107"/>
      <c r="Q498" s="107"/>
      <c r="R498" s="107"/>
      <c r="S498" s="107"/>
      <c r="T498" s="107"/>
      <c r="U498" s="107"/>
      <c r="V498" s="107"/>
      <c r="W498" s="107"/>
      <c r="X498" s="107"/>
      <c r="Y498" s="107"/>
      <c r="Z498" s="107"/>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13"/>
      <c r="BK498" s="213"/>
    </row>
    <row r="499" spans="1:63" ht="12.75" hidden="1" customHeight="1" outlineLevel="1">
      <c r="A499" s="9"/>
      <c r="B499" s="46"/>
      <c r="C499" s="130" t="str">
        <f>Asset6</f>
        <v>Non-network general assets - IT</v>
      </c>
      <c r="D499" s="9"/>
      <c r="E499" s="9"/>
      <c r="F499" s="28"/>
      <c r="G499" s="196">
        <f>Input!Q12</f>
        <v>0</v>
      </c>
      <c r="H499" s="121"/>
      <c r="I499" s="121"/>
      <c r="J499" s="121"/>
      <c r="K499" s="121"/>
      <c r="L499" s="121"/>
      <c r="M499" s="107"/>
      <c r="N499" s="107"/>
      <c r="O499" s="107"/>
      <c r="P499" s="107"/>
      <c r="Q499" s="107"/>
      <c r="R499" s="107"/>
      <c r="S499" s="107"/>
      <c r="T499" s="107"/>
      <c r="U499" s="107"/>
      <c r="V499" s="107"/>
      <c r="W499" s="107"/>
      <c r="X499" s="107"/>
      <c r="Y499" s="107"/>
      <c r="Z499" s="107"/>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13"/>
      <c r="BK499" s="213"/>
    </row>
    <row r="500" spans="1:63" ht="12.75" hidden="1" customHeight="1" outlineLevel="1">
      <c r="A500" s="9"/>
      <c r="B500" s="46"/>
      <c r="C500" s="130" t="str">
        <f>Asset7</f>
        <v>Non-network general assets - Other</v>
      </c>
      <c r="D500" s="9"/>
      <c r="E500" s="9"/>
      <c r="F500" s="28"/>
      <c r="G500" s="196">
        <f>Input!Q13</f>
        <v>0</v>
      </c>
      <c r="H500" s="121"/>
      <c r="I500" s="121"/>
      <c r="J500" s="121"/>
      <c r="K500" s="121"/>
      <c r="L500" s="121"/>
      <c r="M500" s="107"/>
      <c r="N500" s="107"/>
      <c r="O500" s="107"/>
      <c r="P500" s="107"/>
      <c r="Q500" s="107"/>
      <c r="R500" s="107"/>
      <c r="S500" s="107"/>
      <c r="T500" s="107"/>
      <c r="U500" s="107"/>
      <c r="V500" s="107"/>
      <c r="W500" s="107"/>
      <c r="X500" s="107"/>
      <c r="Y500" s="107"/>
      <c r="Z500" s="107"/>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13"/>
      <c r="BK500" s="213"/>
    </row>
    <row r="501" spans="1:63" ht="12.75" hidden="1" customHeight="1" outlineLevel="1">
      <c r="A501" s="9"/>
      <c r="B501" s="46"/>
      <c r="C501" s="130" t="str">
        <f>Asset8</f>
        <v>VBRC</v>
      </c>
      <c r="D501" s="9"/>
      <c r="E501" s="9"/>
      <c r="F501" s="28"/>
      <c r="G501" s="196">
        <f>Input!Q14</f>
        <v>0</v>
      </c>
      <c r="H501" s="121"/>
      <c r="I501" s="121"/>
      <c r="J501" s="121"/>
      <c r="K501" s="121"/>
      <c r="L501" s="121"/>
      <c r="M501" s="107"/>
      <c r="N501" s="107"/>
      <c r="O501" s="107"/>
      <c r="P501" s="107"/>
      <c r="Q501" s="107"/>
      <c r="R501" s="107"/>
      <c r="S501" s="107"/>
      <c r="T501" s="107"/>
      <c r="U501" s="107"/>
      <c r="V501" s="107"/>
      <c r="W501" s="107"/>
      <c r="X501" s="107"/>
      <c r="Y501" s="107"/>
      <c r="Z501" s="107"/>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13"/>
      <c r="BK501" s="213"/>
    </row>
    <row r="502" spans="1:63" ht="12.75" hidden="1" customHeight="1" outlineLevel="1">
      <c r="A502" s="9"/>
      <c r="B502" s="46"/>
      <c r="C502" s="130" t="str">
        <f>Asset9</f>
        <v>Equity raising</v>
      </c>
      <c r="D502" s="9"/>
      <c r="E502" s="9"/>
      <c r="F502" s="28"/>
      <c r="G502" s="196">
        <f>Input!Q15</f>
        <v>0</v>
      </c>
      <c r="H502" s="121"/>
      <c r="I502" s="121"/>
      <c r="J502" s="121"/>
      <c r="K502" s="121"/>
      <c r="L502" s="121"/>
      <c r="M502" s="107"/>
      <c r="N502" s="107"/>
      <c r="O502" s="107"/>
      <c r="P502" s="107"/>
      <c r="Q502" s="107"/>
      <c r="R502" s="107"/>
      <c r="S502" s="107"/>
      <c r="T502" s="107"/>
      <c r="U502" s="107"/>
      <c r="V502" s="107"/>
      <c r="W502" s="107"/>
      <c r="X502" s="107"/>
      <c r="Y502" s="107"/>
      <c r="Z502" s="107"/>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c r="BI502" s="209"/>
      <c r="BJ502" s="213"/>
      <c r="BK502" s="213"/>
    </row>
    <row r="503" spans="1:63" ht="12.75" hidden="1" customHeight="1" outlineLevel="1">
      <c r="A503" s="9"/>
      <c r="B503" s="46"/>
      <c r="C503" s="130">
        <f>Asset10</f>
        <v>0</v>
      </c>
      <c r="D503" s="9"/>
      <c r="E503" s="9"/>
      <c r="F503" s="28"/>
      <c r="G503" s="196">
        <f>Input!Q16</f>
        <v>0</v>
      </c>
      <c r="H503" s="121"/>
      <c r="I503" s="121"/>
      <c r="J503" s="121"/>
      <c r="K503" s="121"/>
      <c r="L503" s="121"/>
      <c r="M503" s="107"/>
      <c r="N503" s="107"/>
      <c r="O503" s="107"/>
      <c r="P503" s="107"/>
      <c r="Q503" s="107"/>
      <c r="R503" s="107"/>
      <c r="S503" s="107"/>
      <c r="T503" s="107"/>
      <c r="U503" s="107"/>
      <c r="V503" s="107"/>
      <c r="W503" s="107"/>
      <c r="X503" s="107"/>
      <c r="Y503" s="107"/>
      <c r="Z503" s="107"/>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13"/>
      <c r="BK503" s="213"/>
    </row>
    <row r="504" spans="1:63" ht="12.75" hidden="1" customHeight="1" outlineLevel="1">
      <c r="A504" s="9"/>
      <c r="B504" s="46"/>
      <c r="C504" s="130">
        <f>Asset11</f>
        <v>0</v>
      </c>
      <c r="D504" s="9"/>
      <c r="E504" s="9"/>
      <c r="F504" s="28"/>
      <c r="G504" s="196">
        <f>Input!Q17</f>
        <v>0</v>
      </c>
      <c r="H504" s="121"/>
      <c r="I504" s="121"/>
      <c r="J504" s="121"/>
      <c r="K504" s="121"/>
      <c r="L504" s="121"/>
      <c r="M504" s="107"/>
      <c r="N504" s="107"/>
      <c r="O504" s="107"/>
      <c r="P504" s="107"/>
      <c r="Q504" s="107"/>
      <c r="R504" s="107"/>
      <c r="S504" s="107"/>
      <c r="T504" s="107"/>
      <c r="U504" s="107"/>
      <c r="V504" s="107"/>
      <c r="W504" s="107"/>
      <c r="X504" s="107"/>
      <c r="Y504" s="107"/>
      <c r="Z504" s="107"/>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13"/>
      <c r="BK504" s="213"/>
    </row>
    <row r="505" spans="1:63" ht="12.75" hidden="1" customHeight="1" outlineLevel="1">
      <c r="A505" s="9"/>
      <c r="B505" s="46"/>
      <c r="C505" s="130">
        <f>Asset12</f>
        <v>0</v>
      </c>
      <c r="D505" s="9"/>
      <c r="E505" s="9"/>
      <c r="F505" s="28"/>
      <c r="G505" s="196">
        <f>Input!Q18</f>
        <v>0</v>
      </c>
      <c r="H505" s="121"/>
      <c r="I505" s="121"/>
      <c r="J505" s="121"/>
      <c r="K505" s="121"/>
      <c r="L505" s="121"/>
      <c r="M505" s="107"/>
      <c r="N505" s="107"/>
      <c r="O505" s="107"/>
      <c r="P505" s="107"/>
      <c r="Q505" s="107"/>
      <c r="R505" s="107"/>
      <c r="S505" s="107"/>
      <c r="T505" s="107"/>
      <c r="U505" s="107"/>
      <c r="V505" s="107"/>
      <c r="W505" s="107"/>
      <c r="X505" s="107"/>
      <c r="Y505" s="107"/>
      <c r="Z505" s="107"/>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13"/>
      <c r="BK505" s="213"/>
    </row>
    <row r="506" spans="1:63" ht="12.75" hidden="1" customHeight="1" outlineLevel="1">
      <c r="A506" s="9"/>
      <c r="B506" s="46"/>
      <c r="C506" s="130">
        <f>Asset13</f>
        <v>0</v>
      </c>
      <c r="D506" s="9"/>
      <c r="E506" s="9"/>
      <c r="F506" s="28"/>
      <c r="G506" s="196">
        <f>Input!Q19</f>
        <v>0</v>
      </c>
      <c r="H506" s="121"/>
      <c r="I506" s="121"/>
      <c r="J506" s="121"/>
      <c r="K506" s="121"/>
      <c r="L506" s="121"/>
      <c r="M506" s="107"/>
      <c r="N506" s="107"/>
      <c r="O506" s="107"/>
      <c r="P506" s="107"/>
      <c r="Q506" s="107"/>
      <c r="R506" s="107"/>
      <c r="S506" s="107"/>
      <c r="T506" s="107"/>
      <c r="U506" s="107"/>
      <c r="V506" s="107"/>
      <c r="W506" s="107"/>
      <c r="X506" s="107"/>
      <c r="Y506" s="107"/>
      <c r="Z506" s="107"/>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13"/>
      <c r="BK506" s="213"/>
    </row>
    <row r="507" spans="1:63" ht="12.75" hidden="1" customHeight="1" outlineLevel="1">
      <c r="A507" s="9"/>
      <c r="B507" s="46"/>
      <c r="C507" s="130">
        <f>Asset14</f>
        <v>0</v>
      </c>
      <c r="D507" s="9"/>
      <c r="E507" s="9"/>
      <c r="F507" s="28"/>
      <c r="G507" s="196">
        <f>Input!Q20</f>
        <v>0</v>
      </c>
      <c r="H507" s="121"/>
      <c r="I507" s="121"/>
      <c r="J507" s="121"/>
      <c r="K507" s="121"/>
      <c r="L507" s="121"/>
      <c r="M507" s="107"/>
      <c r="N507" s="107"/>
      <c r="O507" s="107"/>
      <c r="P507" s="107"/>
      <c r="Q507" s="107"/>
      <c r="R507" s="107"/>
      <c r="S507" s="107"/>
      <c r="T507" s="107"/>
      <c r="U507" s="107"/>
      <c r="V507" s="107"/>
      <c r="W507" s="107"/>
      <c r="X507" s="107"/>
      <c r="Y507" s="107"/>
      <c r="Z507" s="107"/>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13"/>
      <c r="BK507" s="213"/>
    </row>
    <row r="508" spans="1:63" ht="12.75" hidden="1" customHeight="1" outlineLevel="1">
      <c r="A508" s="9"/>
      <c r="B508" s="46"/>
      <c r="C508" s="130">
        <f>Asset15</f>
        <v>0</v>
      </c>
      <c r="D508" s="9"/>
      <c r="E508" s="9"/>
      <c r="F508" s="28"/>
      <c r="G508" s="196">
        <f>Input!Q21</f>
        <v>0</v>
      </c>
      <c r="H508" s="121"/>
      <c r="I508" s="121"/>
      <c r="J508" s="121"/>
      <c r="K508" s="121"/>
      <c r="L508" s="121"/>
      <c r="M508" s="107"/>
      <c r="N508" s="107"/>
      <c r="O508" s="107"/>
      <c r="P508" s="107"/>
      <c r="Q508" s="107"/>
      <c r="R508" s="107"/>
      <c r="S508" s="107"/>
      <c r="T508" s="107"/>
      <c r="U508" s="107"/>
      <c r="V508" s="107"/>
      <c r="W508" s="107"/>
      <c r="X508" s="107"/>
      <c r="Y508" s="107"/>
      <c r="Z508" s="107"/>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13"/>
      <c r="BK508" s="213"/>
    </row>
    <row r="509" spans="1:63" ht="12.75" hidden="1" customHeight="1" outlineLevel="1">
      <c r="A509" s="9"/>
      <c r="B509" s="46"/>
      <c r="C509" s="130">
        <f>Asset16</f>
        <v>0</v>
      </c>
      <c r="D509" s="9"/>
      <c r="E509" s="9"/>
      <c r="F509" s="28"/>
      <c r="G509" s="196">
        <f>Input!Q22</f>
        <v>0</v>
      </c>
      <c r="H509" s="121"/>
      <c r="I509" s="121"/>
      <c r="J509" s="121"/>
      <c r="K509" s="121"/>
      <c r="L509" s="121"/>
      <c r="M509" s="107"/>
      <c r="N509" s="107"/>
      <c r="O509" s="107"/>
      <c r="P509" s="107"/>
      <c r="Q509" s="107"/>
      <c r="R509" s="107"/>
      <c r="S509" s="107"/>
      <c r="T509" s="107"/>
      <c r="U509" s="107"/>
      <c r="V509" s="107"/>
      <c r="W509" s="107"/>
      <c r="X509" s="107"/>
      <c r="Y509" s="107"/>
      <c r="Z509" s="107"/>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13"/>
      <c r="BK509" s="213"/>
    </row>
    <row r="510" spans="1:63" ht="12.75" hidden="1" customHeight="1" outlineLevel="1">
      <c r="A510" s="9"/>
      <c r="B510" s="46"/>
      <c r="C510" s="130">
        <f>Asset17</f>
        <v>0</v>
      </c>
      <c r="D510" s="9"/>
      <c r="E510" s="9"/>
      <c r="F510" s="28"/>
      <c r="G510" s="196">
        <f>Input!Q23</f>
        <v>0</v>
      </c>
      <c r="H510" s="121"/>
      <c r="I510" s="121"/>
      <c r="J510" s="121"/>
      <c r="K510" s="121"/>
      <c r="L510" s="121"/>
      <c r="M510" s="107"/>
      <c r="N510" s="107"/>
      <c r="O510" s="107"/>
      <c r="P510" s="107"/>
      <c r="Q510" s="107"/>
      <c r="R510" s="107"/>
      <c r="S510" s="107"/>
      <c r="T510" s="107"/>
      <c r="U510" s="107"/>
      <c r="V510" s="107"/>
      <c r="W510" s="107"/>
      <c r="X510" s="107"/>
      <c r="Y510" s="107"/>
      <c r="Z510" s="107"/>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13"/>
      <c r="BK510" s="213"/>
    </row>
    <row r="511" spans="1:63" ht="12.75" hidden="1" customHeight="1" outlineLevel="1">
      <c r="A511" s="9"/>
      <c r="B511" s="46"/>
      <c r="C511" s="130">
        <f>Asset18</f>
        <v>0</v>
      </c>
      <c r="D511" s="9"/>
      <c r="E511" s="9"/>
      <c r="F511" s="28"/>
      <c r="G511" s="196">
        <f>Input!Q24</f>
        <v>0</v>
      </c>
      <c r="H511" s="121"/>
      <c r="I511" s="121"/>
      <c r="J511" s="121"/>
      <c r="K511" s="121"/>
      <c r="L511" s="121"/>
      <c r="M511" s="107"/>
      <c r="N511" s="107"/>
      <c r="O511" s="107"/>
      <c r="P511" s="107"/>
      <c r="Q511" s="107"/>
      <c r="R511" s="107"/>
      <c r="S511" s="107"/>
      <c r="T511" s="107"/>
      <c r="U511" s="107"/>
      <c r="V511" s="107"/>
      <c r="W511" s="107"/>
      <c r="X511" s="107"/>
      <c r="Y511" s="107"/>
      <c r="Z511" s="107"/>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13"/>
      <c r="BK511" s="213"/>
    </row>
    <row r="512" spans="1:63" ht="12.75" hidden="1" customHeight="1" outlineLevel="1">
      <c r="A512" s="9"/>
      <c r="B512" s="46"/>
      <c r="C512" s="130">
        <f>Asset19</f>
        <v>0</v>
      </c>
      <c r="D512" s="9"/>
      <c r="E512" s="9"/>
      <c r="F512" s="28"/>
      <c r="G512" s="196">
        <f>Input!Q25</f>
        <v>0</v>
      </c>
      <c r="H512" s="121"/>
      <c r="I512" s="121"/>
      <c r="J512" s="121"/>
      <c r="K512" s="121"/>
      <c r="L512" s="121"/>
      <c r="M512" s="107"/>
      <c r="N512" s="107"/>
      <c r="O512" s="107"/>
      <c r="P512" s="107"/>
      <c r="Q512" s="107"/>
      <c r="R512" s="107"/>
      <c r="S512" s="107"/>
      <c r="T512" s="107"/>
      <c r="U512" s="107"/>
      <c r="V512" s="107"/>
      <c r="W512" s="107"/>
      <c r="X512" s="107"/>
      <c r="Y512" s="107"/>
      <c r="Z512" s="107"/>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13"/>
      <c r="BK512" s="213"/>
    </row>
    <row r="513" spans="1:63" ht="12.75" hidden="1" customHeight="1" outlineLevel="1">
      <c r="A513" s="9"/>
      <c r="B513" s="46"/>
      <c r="C513" s="130">
        <f>Asset20</f>
        <v>0</v>
      </c>
      <c r="D513" s="9"/>
      <c r="E513" s="9"/>
      <c r="F513" s="28"/>
      <c r="G513" s="196">
        <f>Input!Q26</f>
        <v>0</v>
      </c>
      <c r="H513" s="121"/>
      <c r="I513" s="121"/>
      <c r="J513" s="121"/>
      <c r="K513" s="121"/>
      <c r="L513" s="121"/>
      <c r="M513" s="107"/>
      <c r="N513" s="107"/>
      <c r="O513" s="107"/>
      <c r="P513" s="107"/>
      <c r="Q513" s="107"/>
      <c r="R513" s="107"/>
      <c r="S513" s="107"/>
      <c r="T513" s="107"/>
      <c r="U513" s="107"/>
      <c r="V513" s="107"/>
      <c r="W513" s="107"/>
      <c r="X513" s="107"/>
      <c r="Y513" s="107"/>
      <c r="Z513" s="107"/>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c r="BI513" s="209"/>
      <c r="BJ513" s="213"/>
      <c r="BK513" s="213"/>
    </row>
    <row r="514" spans="1:63" ht="12.75" hidden="1" customHeight="1" outlineLevel="1">
      <c r="A514" s="9"/>
      <c r="B514" s="46"/>
      <c r="C514" s="130">
        <f>Asset21</f>
        <v>0</v>
      </c>
      <c r="D514" s="9"/>
      <c r="E514" s="9"/>
      <c r="F514" s="28"/>
      <c r="G514" s="196">
        <f>Input!Q27</f>
        <v>0</v>
      </c>
      <c r="H514" s="121"/>
      <c r="I514" s="121"/>
      <c r="J514" s="121"/>
      <c r="K514" s="121"/>
      <c r="L514" s="121"/>
      <c r="M514" s="107"/>
      <c r="N514" s="107"/>
      <c r="O514" s="107"/>
      <c r="P514" s="107"/>
      <c r="Q514" s="107"/>
      <c r="R514" s="107"/>
      <c r="S514" s="107"/>
      <c r="T514" s="107"/>
      <c r="U514" s="107"/>
      <c r="V514" s="107"/>
      <c r="W514" s="107"/>
      <c r="X514" s="107"/>
      <c r="Y514" s="107"/>
      <c r="Z514" s="107"/>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c r="BI514" s="209"/>
      <c r="BJ514" s="213"/>
      <c r="BK514" s="213"/>
    </row>
    <row r="515" spans="1:63" ht="12.75" hidden="1" customHeight="1" outlineLevel="1">
      <c r="A515" s="9"/>
      <c r="B515" s="46"/>
      <c r="C515" s="130">
        <f>Asset22</f>
        <v>0</v>
      </c>
      <c r="D515" s="9"/>
      <c r="E515" s="9"/>
      <c r="F515" s="28"/>
      <c r="G515" s="196">
        <f>Input!Q28</f>
        <v>0</v>
      </c>
      <c r="H515" s="121"/>
      <c r="I515" s="121"/>
      <c r="J515" s="121"/>
      <c r="K515" s="121"/>
      <c r="L515" s="121"/>
      <c r="M515" s="107"/>
      <c r="N515" s="107"/>
      <c r="O515" s="107"/>
      <c r="P515" s="107"/>
      <c r="Q515" s="107"/>
      <c r="R515" s="107"/>
      <c r="S515" s="107"/>
      <c r="T515" s="107"/>
      <c r="U515" s="107"/>
      <c r="V515" s="107"/>
      <c r="W515" s="107"/>
      <c r="X515" s="107"/>
      <c r="Y515" s="107"/>
      <c r="Z515" s="107"/>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13"/>
      <c r="BK515" s="213"/>
    </row>
    <row r="516" spans="1:63" ht="12.75" hidden="1" customHeight="1" outlineLevel="1">
      <c r="A516" s="9"/>
      <c r="B516" s="46"/>
      <c r="C516" s="130">
        <f>Asset23</f>
        <v>0</v>
      </c>
      <c r="D516" s="9"/>
      <c r="E516" s="9"/>
      <c r="F516" s="28"/>
      <c r="G516" s="196">
        <f>Input!Q29</f>
        <v>0</v>
      </c>
      <c r="H516" s="121"/>
      <c r="I516" s="121"/>
      <c r="J516" s="121"/>
      <c r="K516" s="121"/>
      <c r="L516" s="121"/>
      <c r="M516" s="107"/>
      <c r="N516" s="107"/>
      <c r="O516" s="107"/>
      <c r="P516" s="107"/>
      <c r="Q516" s="107"/>
      <c r="R516" s="107"/>
      <c r="S516" s="107"/>
      <c r="T516" s="107"/>
      <c r="U516" s="107"/>
      <c r="V516" s="107"/>
      <c r="W516" s="107"/>
      <c r="X516" s="107"/>
      <c r="Y516" s="107"/>
      <c r="Z516" s="107"/>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13"/>
      <c r="BK516" s="213"/>
    </row>
    <row r="517" spans="1:63" ht="12.75" hidden="1" customHeight="1" outlineLevel="1">
      <c r="A517" s="9"/>
      <c r="B517" s="46"/>
      <c r="C517" s="130">
        <f>Asset24</f>
        <v>0</v>
      </c>
      <c r="D517" s="9"/>
      <c r="E517" s="9"/>
      <c r="F517" s="28"/>
      <c r="G517" s="196">
        <f>Input!Q30</f>
        <v>0</v>
      </c>
      <c r="H517" s="121"/>
      <c r="I517" s="121"/>
      <c r="J517" s="121"/>
      <c r="K517" s="121"/>
      <c r="L517" s="121"/>
      <c r="M517" s="107"/>
      <c r="N517" s="107"/>
      <c r="O517" s="107"/>
      <c r="P517" s="107"/>
      <c r="Q517" s="107"/>
      <c r="R517" s="107"/>
      <c r="S517" s="107"/>
      <c r="T517" s="107"/>
      <c r="U517" s="107"/>
      <c r="V517" s="107"/>
      <c r="W517" s="107"/>
      <c r="X517" s="107"/>
      <c r="Y517" s="107"/>
      <c r="Z517" s="107"/>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13"/>
      <c r="BK517" s="213"/>
    </row>
    <row r="518" spans="1:63" ht="12.75" hidden="1" customHeight="1" outlineLevel="1">
      <c r="A518" s="9"/>
      <c r="B518" s="46"/>
      <c r="C518" s="130">
        <f>Asset25</f>
        <v>0</v>
      </c>
      <c r="D518" s="9"/>
      <c r="E518" s="9"/>
      <c r="F518" s="28"/>
      <c r="G518" s="196">
        <f>Input!Q31</f>
        <v>0</v>
      </c>
      <c r="H518" s="121"/>
      <c r="I518" s="121"/>
      <c r="J518" s="121"/>
      <c r="K518" s="121"/>
      <c r="L518" s="121"/>
      <c r="M518" s="107"/>
      <c r="N518" s="107"/>
      <c r="O518" s="107"/>
      <c r="P518" s="107"/>
      <c r="Q518" s="107"/>
      <c r="R518" s="107"/>
      <c r="S518" s="107"/>
      <c r="T518" s="107"/>
      <c r="U518" s="107"/>
      <c r="V518" s="107"/>
      <c r="W518" s="107"/>
      <c r="X518" s="107"/>
      <c r="Y518" s="107"/>
      <c r="Z518" s="107"/>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13"/>
      <c r="BK518" s="213"/>
    </row>
    <row r="519" spans="1:63" ht="12.75" hidden="1" customHeight="1" outlineLevel="1">
      <c r="A519" s="9"/>
      <c r="B519" s="46"/>
      <c r="C519" s="130">
        <f>Asset26</f>
        <v>0</v>
      </c>
      <c r="D519" s="9"/>
      <c r="E519" s="9"/>
      <c r="F519" s="28"/>
      <c r="G519" s="196">
        <f>Input!Q32</f>
        <v>0</v>
      </c>
      <c r="H519" s="121"/>
      <c r="I519" s="121"/>
      <c r="J519" s="121"/>
      <c r="K519" s="121"/>
      <c r="L519" s="121"/>
      <c r="M519" s="107"/>
      <c r="N519" s="107"/>
      <c r="O519" s="107"/>
      <c r="P519" s="107"/>
      <c r="Q519" s="107"/>
      <c r="R519" s="107"/>
      <c r="S519" s="107"/>
      <c r="T519" s="107"/>
      <c r="U519" s="107"/>
      <c r="V519" s="107"/>
      <c r="W519" s="107"/>
      <c r="X519" s="107"/>
      <c r="Y519" s="107"/>
      <c r="Z519" s="107"/>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13"/>
      <c r="BK519" s="213"/>
    </row>
    <row r="520" spans="1:63" ht="12.75" hidden="1" customHeight="1" outlineLevel="1">
      <c r="A520" s="9"/>
      <c r="B520" s="46"/>
      <c r="C520" s="130">
        <f>Asset27</f>
        <v>0</v>
      </c>
      <c r="D520" s="9"/>
      <c r="E520" s="9"/>
      <c r="F520" s="28"/>
      <c r="G520" s="196">
        <f>Input!Q33</f>
        <v>0</v>
      </c>
      <c r="H520" s="121"/>
      <c r="I520" s="121"/>
      <c r="J520" s="121"/>
      <c r="K520" s="121"/>
      <c r="L520" s="121"/>
      <c r="M520" s="107"/>
      <c r="N520" s="107"/>
      <c r="O520" s="107"/>
      <c r="P520" s="107"/>
      <c r="Q520" s="107"/>
      <c r="R520" s="107"/>
      <c r="S520" s="107"/>
      <c r="T520" s="107"/>
      <c r="U520" s="107"/>
      <c r="V520" s="107"/>
      <c r="W520" s="107"/>
      <c r="X520" s="107"/>
      <c r="Y520" s="107"/>
      <c r="Z520" s="107"/>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13"/>
      <c r="BK520" s="213"/>
    </row>
    <row r="521" spans="1:63" ht="12.75" hidden="1" customHeight="1" outlineLevel="1">
      <c r="A521" s="9"/>
      <c r="B521" s="46"/>
      <c r="C521" s="130">
        <f>Asset28</f>
        <v>0</v>
      </c>
      <c r="D521" s="9"/>
      <c r="E521" s="9"/>
      <c r="F521" s="28"/>
      <c r="G521" s="196">
        <f>Input!Q34</f>
        <v>0</v>
      </c>
      <c r="H521" s="121"/>
      <c r="I521" s="121"/>
      <c r="J521" s="121"/>
      <c r="K521" s="121"/>
      <c r="L521" s="121"/>
      <c r="M521" s="107"/>
      <c r="N521" s="107"/>
      <c r="O521" s="107"/>
      <c r="P521" s="107"/>
      <c r="Q521" s="107"/>
      <c r="R521" s="107"/>
      <c r="S521" s="107"/>
      <c r="T521" s="107"/>
      <c r="U521" s="107"/>
      <c r="V521" s="107"/>
      <c r="W521" s="107"/>
      <c r="X521" s="107"/>
      <c r="Y521" s="107"/>
      <c r="Z521" s="107"/>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13"/>
      <c r="BK521" s="213"/>
    </row>
    <row r="522" spans="1:63" ht="12.75" hidden="1" customHeight="1" outlineLevel="1">
      <c r="A522" s="9"/>
      <c r="B522" s="46"/>
      <c r="C522" s="130">
        <f>Asset29</f>
        <v>0</v>
      </c>
      <c r="D522" s="9"/>
      <c r="E522" s="9"/>
      <c r="F522" s="28"/>
      <c r="G522" s="196">
        <f>Input!Q35</f>
        <v>0</v>
      </c>
      <c r="H522" s="121"/>
      <c r="I522" s="121"/>
      <c r="J522" s="121"/>
      <c r="K522" s="121"/>
      <c r="L522" s="121"/>
      <c r="M522" s="107"/>
      <c r="N522" s="107"/>
      <c r="O522" s="107"/>
      <c r="P522" s="107"/>
      <c r="Q522" s="107"/>
      <c r="R522" s="107"/>
      <c r="S522" s="107"/>
      <c r="T522" s="107"/>
      <c r="U522" s="107"/>
      <c r="V522" s="107"/>
      <c r="W522" s="107"/>
      <c r="X522" s="107"/>
      <c r="Y522" s="107"/>
      <c r="Z522" s="107"/>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13"/>
      <c r="BK522" s="213"/>
    </row>
    <row r="523" spans="1:63" ht="12.75" hidden="1" customHeight="1" outlineLevel="1">
      <c r="A523" s="9"/>
      <c r="B523" s="46"/>
      <c r="C523" s="130">
        <f>Asset30</f>
        <v>0</v>
      </c>
      <c r="D523" s="9"/>
      <c r="E523" s="9"/>
      <c r="F523" s="28"/>
      <c r="G523" s="196">
        <f>Input!Q36</f>
        <v>0</v>
      </c>
      <c r="H523" s="121"/>
      <c r="I523" s="121"/>
      <c r="J523" s="121"/>
      <c r="K523" s="121"/>
      <c r="L523" s="121"/>
      <c r="M523" s="107"/>
      <c r="N523" s="107"/>
      <c r="O523" s="107"/>
      <c r="P523" s="107"/>
      <c r="Q523" s="107"/>
      <c r="R523" s="107"/>
      <c r="S523" s="107"/>
      <c r="T523" s="107"/>
      <c r="U523" s="107"/>
      <c r="V523" s="107"/>
      <c r="W523" s="107"/>
      <c r="X523" s="107"/>
      <c r="Y523" s="107"/>
      <c r="Z523" s="107"/>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13"/>
      <c r="BK523" s="213"/>
    </row>
    <row r="524" spans="1:63" collapsed="1">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13"/>
      <c r="BK524" s="21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7109375" bestFit="1" customWidth="1"/>
    <col min="13"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52"/>
      <c r="BE1" s="52"/>
      <c r="BF1" s="52"/>
      <c r="BG1" s="52"/>
      <c r="BH1" s="52"/>
      <c r="BI1" s="52"/>
      <c r="BJ1" s="52"/>
      <c r="BK1" s="12"/>
      <c r="BL1" s="12"/>
    </row>
    <row r="2" spans="1:256" ht="15.75">
      <c r="A2" s="9"/>
      <c r="B2" s="9"/>
      <c r="C2" s="57" t="s">
        <v>214</v>
      </c>
      <c r="D2" s="9"/>
      <c r="E2" s="9"/>
      <c r="F2" s="9"/>
      <c r="G2" s="9"/>
      <c r="H2" s="9"/>
      <c r="I2" s="9"/>
      <c r="J2" s="9"/>
      <c r="K2" s="9"/>
      <c r="L2" s="298"/>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12"/>
      <c r="BE2" s="12"/>
      <c r="BF2" s="12"/>
      <c r="BG2" s="12"/>
      <c r="BH2" s="12"/>
      <c r="BI2" s="12"/>
      <c r="BJ2" s="12"/>
      <c r="BK2" s="12"/>
      <c r="BL2" s="12"/>
    </row>
    <row r="3" spans="1:256" s="1" customFormat="1">
      <c r="A3" s="58"/>
      <c r="B3" s="58"/>
      <c r="C3" s="59"/>
      <c r="D3" s="58"/>
      <c r="E3" s="58"/>
      <c r="F3" s="58"/>
      <c r="G3" s="229">
        <v>0</v>
      </c>
      <c r="H3" s="229">
        <f t="shared" ref="H3:R3" si="0">G3+1</f>
        <v>1</v>
      </c>
      <c r="I3" s="229">
        <f t="shared" si="0"/>
        <v>2</v>
      </c>
      <c r="J3" s="229">
        <f t="shared" si="0"/>
        <v>3</v>
      </c>
      <c r="K3" s="229">
        <f t="shared" si="0"/>
        <v>4</v>
      </c>
      <c r="L3" s="229">
        <f t="shared" si="0"/>
        <v>5</v>
      </c>
      <c r="M3" s="229">
        <f t="shared" si="0"/>
        <v>6</v>
      </c>
      <c r="N3" s="229">
        <f t="shared" si="0"/>
        <v>7</v>
      </c>
      <c r="O3" s="229">
        <f t="shared" si="0"/>
        <v>8</v>
      </c>
      <c r="P3" s="229">
        <f t="shared" si="0"/>
        <v>9</v>
      </c>
      <c r="Q3" s="229">
        <f t="shared" si="0"/>
        <v>10</v>
      </c>
      <c r="R3" s="229">
        <f t="shared" si="0"/>
        <v>11</v>
      </c>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 t="shared" ref="R4" si="1">CONCATENATE(LEFT(Q4, 4)+1)</f>
        <v>2021</v>
      </c>
      <c r="S4" s="14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49"/>
      <c r="G6" s="286">
        <f>Input!G177</f>
        <v>1.2612612612612484E-2</v>
      </c>
      <c r="H6" s="21">
        <f>Input!H177</f>
        <v>2.7876631079478242E-2</v>
      </c>
      <c r="I6" s="21">
        <f>Input!I177</f>
        <v>3.5199076745527913E-2</v>
      </c>
      <c r="J6" s="21">
        <f>Input!J177</f>
        <v>2.0040080160320661E-2</v>
      </c>
      <c r="K6" s="21">
        <f>Input!K177</f>
        <v>2.16110019646365E-2</v>
      </c>
      <c r="L6" s="21">
        <f>Input!L177</f>
        <v>2.3076923076923217E-2</v>
      </c>
      <c r="M6" s="21">
        <f>Input!M177</f>
        <v>0</v>
      </c>
      <c r="N6" s="21">
        <f>Input!N177</f>
        <v>0</v>
      </c>
      <c r="O6" s="21">
        <f>Input!O177</f>
        <v>0</v>
      </c>
      <c r="P6" s="21">
        <f>Input!P177</f>
        <v>0</v>
      </c>
      <c r="Q6" s="21">
        <f>Input!Q177</f>
        <v>0</v>
      </c>
      <c r="R6" s="21"/>
      <c r="S6" s="86"/>
      <c r="T6" s="86"/>
      <c r="U6" s="86"/>
      <c r="V6" s="86"/>
      <c r="W6" s="86"/>
      <c r="X6" s="86"/>
      <c r="Y6" s="86"/>
      <c r="Z6" s="86"/>
      <c r="AA6" s="86"/>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86"/>
      <c r="BE6" s="86"/>
      <c r="BF6" s="86"/>
      <c r="BG6" s="86"/>
      <c r="BH6" s="86"/>
      <c r="BI6" s="86"/>
      <c r="BJ6" s="86"/>
      <c r="BK6" s="12"/>
      <c r="BL6" s="12"/>
    </row>
    <row r="7" spans="1:256">
      <c r="A7" s="9"/>
      <c r="B7" s="9"/>
      <c r="C7" s="9" t="s">
        <v>76</v>
      </c>
      <c r="D7" s="9"/>
      <c r="E7" s="9"/>
      <c r="F7" s="9"/>
      <c r="G7" s="198">
        <f>Input!G178</f>
        <v>1</v>
      </c>
      <c r="H7" s="230">
        <f>Input!H178</f>
        <v>1.0278766310794782</v>
      </c>
      <c r="I7" s="231">
        <f>Input!I178</f>
        <v>1.0640569395017794</v>
      </c>
      <c r="J7" s="231">
        <f>Input!J178</f>
        <v>1.0853807258645405</v>
      </c>
      <c r="K7" s="231">
        <f>Input!K178</f>
        <v>1.1088368908635777</v>
      </c>
      <c r="L7" s="231">
        <f>Input!L178</f>
        <v>1.1344254344988911</v>
      </c>
      <c r="M7" s="231">
        <f>Input!M178</f>
        <v>1.1344254344988911</v>
      </c>
      <c r="N7" s="231">
        <f>Input!N178</f>
        <v>1.1344254344988911</v>
      </c>
      <c r="O7" s="231">
        <f>Input!O178</f>
        <v>1.1344254344988911</v>
      </c>
      <c r="P7" s="231">
        <f>Input!P178</f>
        <v>1.1344254344988911</v>
      </c>
      <c r="Q7" s="231">
        <f>Input!Q178</f>
        <v>1.1344254344988911</v>
      </c>
      <c r="R7" s="22"/>
      <c r="S7" s="100"/>
      <c r="T7" s="100"/>
      <c r="U7" s="100"/>
      <c r="V7" s="100"/>
      <c r="W7" s="100"/>
      <c r="X7" s="100"/>
      <c r="Y7" s="100"/>
      <c r="Z7" s="100"/>
      <c r="AA7" s="100"/>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292"/>
      <c r="T8" s="100"/>
      <c r="U8" s="100"/>
      <c r="V8" s="100"/>
      <c r="W8" s="100"/>
      <c r="X8" s="100"/>
      <c r="Y8" s="100"/>
      <c r="Z8" s="100"/>
      <c r="AA8" s="100"/>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292"/>
      <c r="T9" s="100"/>
      <c r="U9" s="100"/>
      <c r="V9" s="100"/>
      <c r="W9" s="100"/>
      <c r="X9" s="100"/>
      <c r="Y9" s="100"/>
      <c r="Z9" s="100"/>
      <c r="AA9" s="100"/>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292"/>
      <c r="T10" s="100"/>
      <c r="U10" s="100"/>
      <c r="V10" s="100"/>
      <c r="W10" s="100"/>
      <c r="X10" s="100"/>
      <c r="Y10" s="100"/>
      <c r="Z10" s="100"/>
      <c r="AA10" s="100"/>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100"/>
      <c r="BE10" s="100"/>
      <c r="BF10" s="100"/>
      <c r="BG10" s="100"/>
      <c r="BH10" s="100"/>
      <c r="BI10" s="100"/>
      <c r="BJ10" s="100"/>
      <c r="BK10" s="12"/>
      <c r="BL10" s="12"/>
    </row>
    <row r="11" spans="1:256">
      <c r="A11" s="9"/>
      <c r="B11" s="9"/>
      <c r="C11" s="46" t="s">
        <v>34</v>
      </c>
      <c r="D11" s="9"/>
      <c r="E11" s="9"/>
      <c r="F11" s="9"/>
      <c r="G11" s="37"/>
      <c r="H11" s="37">
        <f t="shared" ref="H11:P11" si="2">SUM(H12:H41)</f>
        <v>136.79288656327898</v>
      </c>
      <c r="I11" s="37">
        <f t="shared" si="2"/>
        <v>110.87842110914961</v>
      </c>
      <c r="J11" s="37">
        <f t="shared" si="2"/>
        <v>130.27657224764999</v>
      </c>
      <c r="K11" s="37">
        <f t="shared" si="2"/>
        <v>140.83502410969254</v>
      </c>
      <c r="L11" s="37">
        <f t="shared" si="2"/>
        <v>165.07667461260252</v>
      </c>
      <c r="M11" s="37">
        <f t="shared" si="2"/>
        <v>0</v>
      </c>
      <c r="N11" s="37">
        <f t="shared" si="2"/>
        <v>0</v>
      </c>
      <c r="O11" s="37">
        <f t="shared" si="2"/>
        <v>0</v>
      </c>
      <c r="P11" s="37">
        <f t="shared" si="2"/>
        <v>0</v>
      </c>
      <c r="Q11" s="37">
        <f>SUM(Q12:Q41)</f>
        <v>0</v>
      </c>
      <c r="R11" s="29"/>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101"/>
      <c r="BE11" s="101"/>
      <c r="BF11" s="101"/>
      <c r="BG11" s="101"/>
      <c r="BH11" s="101"/>
      <c r="BI11" s="101"/>
      <c r="BJ11" s="101"/>
      <c r="BK11" s="12"/>
      <c r="BL11" s="12"/>
    </row>
    <row r="12" spans="1:256" hidden="1" outlineLevel="1">
      <c r="A12" s="9"/>
      <c r="B12" s="9"/>
      <c r="C12" s="46"/>
      <c r="D12" s="130" t="str">
        <f>Asset1</f>
        <v>Subtransmission</v>
      </c>
      <c r="E12" s="9"/>
      <c r="F12" s="9"/>
      <c r="G12" s="124"/>
      <c r="H12" s="112">
        <f>Input!H143*(1+vanilla1)^0.5</f>
        <v>83.893307551441538</v>
      </c>
      <c r="I12" s="112">
        <f>Input!I143*(1+vanilla2)^0.5</f>
        <v>28.063961030067176</v>
      </c>
      <c r="J12" s="112">
        <f>Input!J143*(1+vanilla3)^0.5</f>
        <v>56.099353610281526</v>
      </c>
      <c r="K12" s="112">
        <f>Input!K143*(1+vanilla4)^0.5</f>
        <v>26.081146247484405</v>
      </c>
      <c r="L12" s="299">
        <f>Input!L143*(1+vanilla5)^0.5</f>
        <v>39.175653442723345</v>
      </c>
      <c r="M12" s="112">
        <f>Input!M143*(1+vanilla6)^0.5</f>
        <v>0</v>
      </c>
      <c r="N12" s="112">
        <f>Input!N143*(1+vanilla7)^0.5</f>
        <v>0</v>
      </c>
      <c r="O12" s="112">
        <f>Input!O143*(1+vanilla8)^0.5</f>
        <v>0</v>
      </c>
      <c r="P12" s="112">
        <f>Input!P143*(1+vanilla9)^0.5</f>
        <v>0</v>
      </c>
      <c r="Q12" s="112">
        <f>Input!Q143*(1+vanilla10)^0.5</f>
        <v>0</v>
      </c>
      <c r="R12" s="29"/>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101"/>
      <c r="BE12" s="101"/>
      <c r="BF12" s="101"/>
      <c r="BG12" s="101"/>
      <c r="BH12" s="101"/>
      <c r="BI12" s="101"/>
      <c r="BJ12" s="101"/>
      <c r="BK12" s="12"/>
      <c r="BL12" s="12"/>
    </row>
    <row r="13" spans="1:256" hidden="1" outlineLevel="1">
      <c r="A13" s="9"/>
      <c r="B13" s="9"/>
      <c r="C13" s="46"/>
      <c r="D13" s="130" t="str">
        <f>Asset2</f>
        <v>Distribution system assets</v>
      </c>
      <c r="E13" s="9"/>
      <c r="F13" s="9"/>
      <c r="G13" s="124"/>
      <c r="H13" s="112">
        <f>Input!H144*(1+vanilla1)^0.5</f>
        <v>44.57541595402747</v>
      </c>
      <c r="I13" s="112">
        <f>Input!I144*(1+vanilla2)^0.5</f>
        <v>73.471844126977615</v>
      </c>
      <c r="J13" s="112">
        <f>Input!J144*(1+vanilla3)^0.5</f>
        <v>64.284419782703395</v>
      </c>
      <c r="K13" s="112">
        <f>Input!K144*(1+vanilla4)^0.5</f>
        <v>99.440867513052439</v>
      </c>
      <c r="L13" s="112">
        <f>Input!L144*(1+vanilla5)^0.5</f>
        <v>107.16003641322018</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101"/>
      <c r="BE13" s="101"/>
      <c r="BF13" s="101"/>
      <c r="BG13" s="101"/>
      <c r="BH13" s="101"/>
      <c r="BI13" s="101"/>
      <c r="BJ13" s="101"/>
      <c r="BK13" s="12"/>
      <c r="BL13" s="12"/>
    </row>
    <row r="14" spans="1:256" hidden="1" outlineLevel="1">
      <c r="A14" s="9"/>
      <c r="B14" s="9"/>
      <c r="C14" s="46"/>
      <c r="D14" s="130" t="str">
        <f>Asset3</f>
        <v>Standard metering</v>
      </c>
      <c r="E14" s="9"/>
      <c r="F14" s="9"/>
      <c r="G14" s="124"/>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101"/>
      <c r="BE14" s="101"/>
      <c r="BF14" s="101"/>
      <c r="BG14" s="101"/>
      <c r="BH14" s="101"/>
      <c r="BI14" s="101"/>
      <c r="BJ14" s="101"/>
      <c r="BK14" s="12"/>
      <c r="BL14" s="12"/>
    </row>
    <row r="15" spans="1:256" hidden="1" outlineLevel="1">
      <c r="A15" s="9"/>
      <c r="B15" s="9"/>
      <c r="C15" s="46"/>
      <c r="D15" s="130" t="str">
        <f>Asset4</f>
        <v>Public lighting</v>
      </c>
      <c r="E15" s="9"/>
      <c r="F15" s="9"/>
      <c r="G15" s="124"/>
      <c r="H15" s="112">
        <f>Input!H146*(1+vanilla1)^0.5</f>
        <v>0</v>
      </c>
      <c r="I15" s="112">
        <f>Input!I146*(1+vanilla2)^0.5</f>
        <v>0</v>
      </c>
      <c r="J15" s="112">
        <f>Input!J146*(1+vanilla3)^0.5</f>
        <v>0</v>
      </c>
      <c r="K15" s="112">
        <f>Input!K146*(1+vanilla4)^0.5</f>
        <v>0</v>
      </c>
      <c r="L15" s="112">
        <f>Input!L146*(1+vanilla5)^0.5</f>
        <v>0</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101"/>
      <c r="BE15" s="101"/>
      <c r="BF15" s="101"/>
      <c r="BG15" s="101"/>
      <c r="BH15" s="101"/>
      <c r="BI15" s="101"/>
      <c r="BJ15" s="101"/>
      <c r="BK15" s="12"/>
      <c r="BL15" s="12"/>
    </row>
    <row r="16" spans="1:256" hidden="1" outlineLevel="1">
      <c r="A16" s="9"/>
      <c r="B16" s="9"/>
      <c r="C16" s="46"/>
      <c r="D16" s="130" t="str">
        <f>Asset5</f>
        <v>SCADA/Network control</v>
      </c>
      <c r="E16" s="9"/>
      <c r="F16" s="9"/>
      <c r="G16" s="124"/>
      <c r="H16" s="112">
        <f>Input!H147*(1+vanilla1)^0.5</f>
        <v>0.91958321184066016</v>
      </c>
      <c r="I16" s="112">
        <f>Input!I147*(1+vanilla2)^0.5</f>
        <v>3.3237509413121478</v>
      </c>
      <c r="J16" s="112">
        <f>Input!J147*(1+vanilla3)^0.5</f>
        <v>2.555141710081088</v>
      </c>
      <c r="K16" s="112">
        <f>Input!K147*(1+vanilla4)^0.5</f>
        <v>2.4817996337186621</v>
      </c>
      <c r="L16" s="112">
        <f>Input!L147*(1+vanilla5)^0.5</f>
        <v>1.9728309827932831</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101"/>
      <c r="BE16" s="101"/>
      <c r="BF16" s="101"/>
      <c r="BG16" s="101"/>
      <c r="BH16" s="101"/>
      <c r="BI16" s="101"/>
      <c r="BJ16" s="101"/>
      <c r="BK16" s="12"/>
      <c r="BL16" s="12"/>
    </row>
    <row r="17" spans="1:64" hidden="1" outlineLevel="1">
      <c r="A17" s="9"/>
      <c r="B17" s="9"/>
      <c r="C17" s="46"/>
      <c r="D17" s="130" t="str">
        <f>Asset6</f>
        <v>Non-network general assets - IT</v>
      </c>
      <c r="E17" s="9"/>
      <c r="F17" s="9"/>
      <c r="G17" s="124"/>
      <c r="H17" s="112">
        <f>Input!H148*(1+vanilla1)^0.5</f>
        <v>3.6093557150590105</v>
      </c>
      <c r="I17" s="112">
        <f>Input!I148*(1+vanilla2)^0.5</f>
        <v>5.8004631152482151</v>
      </c>
      <c r="J17" s="112">
        <f>Input!J148*(1+vanilla3)^0.5</f>
        <v>4.9056499422953257</v>
      </c>
      <c r="K17" s="112">
        <f>Input!K148*(1+vanilla4)^0.5</f>
        <v>8.2007705352908733</v>
      </c>
      <c r="L17" s="112">
        <f>Input!L148*(1+vanilla5)^0.5</f>
        <v>14.278875721966784</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101"/>
      <c r="BE17" s="101"/>
      <c r="BF17" s="101"/>
      <c r="BG17" s="101"/>
      <c r="BH17" s="101"/>
      <c r="BI17" s="101"/>
      <c r="BJ17" s="101"/>
      <c r="BK17" s="12"/>
      <c r="BL17" s="12"/>
    </row>
    <row r="18" spans="1:64" hidden="1" outlineLevel="1">
      <c r="A18" s="9"/>
      <c r="B18" s="9"/>
      <c r="C18" s="46"/>
      <c r="D18" s="130" t="str">
        <f>Asset7</f>
        <v>Non-network general assets - Other</v>
      </c>
      <c r="E18" s="9"/>
      <c r="F18" s="9"/>
      <c r="G18" s="124"/>
      <c r="H18" s="112">
        <f>Input!H149*(1+vanilla1)^0.5</f>
        <v>0.94678233739669759</v>
      </c>
      <c r="I18" s="112">
        <f>Input!I149*(1+vanilla2)^0.5</f>
        <v>0.21840189554445746</v>
      </c>
      <c r="J18" s="112">
        <f>Input!J149*(1+vanilla3)^0.5</f>
        <v>2.4320072022886525</v>
      </c>
      <c r="K18" s="112">
        <f>Input!K149*(1+vanilla4)^0.5</f>
        <v>4.6304401801461532</v>
      </c>
      <c r="L18" s="112">
        <f>Input!L149*(1+vanilla5)^0.5</f>
        <v>2.4892780518989048</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101"/>
      <c r="BE18" s="101"/>
      <c r="BF18" s="101"/>
      <c r="BG18" s="101"/>
      <c r="BH18" s="101"/>
      <c r="BI18" s="101"/>
      <c r="BJ18" s="101"/>
      <c r="BK18" s="12"/>
      <c r="BL18" s="12"/>
    </row>
    <row r="19" spans="1:64" hidden="1" outlineLevel="1">
      <c r="A19" s="9"/>
      <c r="B19" s="9"/>
      <c r="C19" s="46"/>
      <c r="D19" s="130" t="str">
        <f>Asset8</f>
        <v>VBRC</v>
      </c>
      <c r="E19" s="9"/>
      <c r="F19" s="9"/>
      <c r="G19" s="124"/>
      <c r="H19" s="112">
        <f>Input!H150*(1+vanilla1)^0.5</f>
        <v>0</v>
      </c>
      <c r="I19" s="112">
        <f>Input!I150*(1+vanilla2)^0.5</f>
        <v>0</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101"/>
      <c r="BE19" s="101"/>
      <c r="BF19" s="101"/>
      <c r="BG19" s="101"/>
      <c r="BH19" s="101"/>
      <c r="BI19" s="101"/>
      <c r="BJ19" s="101"/>
      <c r="BK19" s="12"/>
      <c r="BL19" s="12"/>
    </row>
    <row r="20" spans="1:64" hidden="1" outlineLevel="1">
      <c r="A20" s="9"/>
      <c r="B20" s="9"/>
      <c r="C20" s="46"/>
      <c r="D20" s="130" t="str">
        <f>Asset9</f>
        <v>Equity raising</v>
      </c>
      <c r="E20" s="9"/>
      <c r="F20" s="9"/>
      <c r="G20" s="124"/>
      <c r="H20" s="112">
        <f>Input!H151*(1+vanilla1)^0.5</f>
        <v>2.8484417935136044</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101"/>
      <c r="BE41" s="101"/>
      <c r="BF41" s="101"/>
      <c r="BG41" s="101"/>
      <c r="BH41" s="101"/>
      <c r="BI41" s="101"/>
      <c r="BJ41" s="101"/>
      <c r="BK41" s="12"/>
      <c r="BL41" s="12"/>
    </row>
    <row r="42" spans="1:256" collapsed="1">
      <c r="A42" s="9"/>
      <c r="B42" s="9"/>
      <c r="C42" s="46"/>
      <c r="D42" s="114"/>
      <c r="E42" s="9"/>
      <c r="F42" s="9"/>
      <c r="G42" s="28"/>
      <c r="H42" s="37"/>
      <c r="I42" s="37"/>
      <c r="J42" s="37"/>
      <c r="K42" s="37"/>
      <c r="L42" s="37"/>
      <c r="M42" s="37"/>
      <c r="N42" s="111"/>
      <c r="O42" s="29"/>
      <c r="P42" s="29"/>
      <c r="Q42" s="29"/>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101"/>
      <c r="BE42" s="101"/>
      <c r="BF42" s="101"/>
      <c r="BG42" s="101"/>
      <c r="BH42" s="101"/>
      <c r="BI42" s="101"/>
      <c r="BJ42" s="101"/>
      <c r="BK42" s="12"/>
      <c r="BL42" s="12"/>
    </row>
    <row r="43" spans="1:256">
      <c r="A43" s="9"/>
      <c r="B43" s="9"/>
      <c r="C43" s="9" t="s">
        <v>35</v>
      </c>
      <c r="D43" s="9"/>
      <c r="E43" s="9"/>
      <c r="F43" s="9"/>
      <c r="G43" s="117"/>
      <c r="H43" s="117">
        <f>H56+H69+H82+H95+H108+H121+H134+H147+H160+H173+H186+H199+H212+H225+H238+H251+H264+H277+H290+H303+H316+H329+H342+H355+H368+H381+H394+H407+H420+H433</f>
        <v>-66.159178932619284</v>
      </c>
      <c r="I43" s="117">
        <f t="shared" ref="I43:Q43" si="3">I56+I69+I82+I95+I108+I121+I134+I147+I160+I173+I186+I199+I212+I225+I238+I251+I264+I277+I290+I303+I316+I329+I342+I355+I368+I381+I394+I407+I420+I433</f>
        <v>-69.574825929433771</v>
      </c>
      <c r="J43" s="117">
        <f t="shared" si="3"/>
        <v>-72.879787731809103</v>
      </c>
      <c r="K43" s="117">
        <f t="shared" si="3"/>
        <v>-76.571060144614322</v>
      </c>
      <c r="L43" s="117">
        <f t="shared" si="3"/>
        <v>-81.142835300376021</v>
      </c>
      <c r="M43" s="117">
        <f t="shared" si="3"/>
        <v>0</v>
      </c>
      <c r="N43" s="117">
        <f t="shared" si="3"/>
        <v>0</v>
      </c>
      <c r="O43" s="117">
        <f t="shared" si="3"/>
        <v>0</v>
      </c>
      <c r="P43" s="117">
        <f t="shared" si="3"/>
        <v>0</v>
      </c>
      <c r="Q43" s="117">
        <f t="shared" si="3"/>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8">
        <f>IF(H$3&gt;A1remlife,A1value-SUM($G44:G44),IF(A1remlife="N/A","n/a",A1value/A1remlife))</f>
        <v>6.5088064401783097</v>
      </c>
      <c r="I44" s="68">
        <f>IF(I$3&gt;A1remlife,A1value-SUM($G44:H44),IF(A1remlife="N/A","n/a",A1value/A1remlife))</f>
        <v>6.5088064401783097</v>
      </c>
      <c r="J44" s="68">
        <f>IF(J$3&gt;A1remlife,A1value-SUM($G44:I44),IF(A1remlife="N/A","n/a",A1value/A1remlife))</f>
        <v>6.5088064401783097</v>
      </c>
      <c r="K44" s="68">
        <f>IF(K$3&gt;A1remlife,A1value-SUM($G44:J44),IF(A1remlife="N/A","n/a",A1value/A1remlife))</f>
        <v>6.5088064401783097</v>
      </c>
      <c r="L44" s="68">
        <f>IF(L$3&gt;A1remlife,A1value-SUM($G44:K44),IF(A1remlife="N/A","n/a",A1value/A1remlife))</f>
        <v>6.5088064401783097</v>
      </c>
      <c r="M44" s="68">
        <f>IF(M$3&gt;A1remlife,A1value-SUM($G44:L44),IF(A1remlife="N/A","n/a",A1value/A1remlife))</f>
        <v>6.5088064401783097</v>
      </c>
      <c r="N44" s="68">
        <f>IF(N$3&gt;A1remlife,A1value-SUM($G44:M44),IF(A1remlife="N/A","n/a",A1value/A1remlife))</f>
        <v>6.5088064401783097</v>
      </c>
      <c r="O44" s="68">
        <f>IF(O$3&gt;A1remlife,A1value-SUM($G44:N44),IF(A1remlife="N/A","n/a",A1value/A1remlife))</f>
        <v>6.5088064401783097</v>
      </c>
      <c r="P44" s="68">
        <f>IF(P$3&gt;A1remlife,A1value-SUM($G44:O44),IF(A1remlife="N/A","n/a",A1value/A1remlife))</f>
        <v>6.5088064401783097</v>
      </c>
      <c r="Q44" s="68">
        <f>IF(Q$3&gt;A1remlife,A1value-SUM($G44:P44),IF(A1remlife="N/A","n/a",A1value/A1remlife))</f>
        <v>6.5088064401783097</v>
      </c>
      <c r="R44" s="36"/>
      <c r="S44" s="102"/>
      <c r="T44" s="102"/>
      <c r="U44" s="102"/>
      <c r="V44" s="102"/>
      <c r="W44" s="102"/>
      <c r="X44" s="102"/>
      <c r="Y44" s="102"/>
      <c r="Z44" s="102"/>
      <c r="AA44" s="102"/>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536" t="s">
        <v>86</v>
      </c>
      <c r="F45" s="87">
        <v>0</v>
      </c>
      <c r="G45" s="27"/>
      <c r="H45" s="118"/>
      <c r="I45" s="118"/>
      <c r="J45" s="118"/>
      <c r="K45" s="118"/>
      <c r="L45" s="118"/>
      <c r="M45" s="118"/>
      <c r="N45" s="47"/>
      <c r="O45" s="47"/>
      <c r="P45" s="47"/>
      <c r="Q45" s="47"/>
      <c r="R45" s="47"/>
      <c r="S45" s="102"/>
      <c r="T45" s="102"/>
      <c r="U45" s="102"/>
      <c r="V45" s="102"/>
      <c r="W45" s="102"/>
      <c r="X45" s="102"/>
      <c r="Y45" s="102"/>
      <c r="Z45" s="102"/>
      <c r="AA45" s="102"/>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537"/>
      <c r="F46" s="87">
        <v>1</v>
      </c>
      <c r="G46" s="27"/>
      <c r="H46" s="148"/>
      <c r="I46" s="69">
        <f>IF(A1stdlife="n/a","n/a",IF(I$3&gt;(A1stdlife+$F46),(Input!$H$143*(1+vanilla1)^0.5)-SUM($H46:H46),(Input!$H$143*(1+vanilla1)^0.5)/A1stdlife))</f>
        <v>1.6778661510288309</v>
      </c>
      <c r="J46" s="69">
        <f>IF(A1stdlife="n/a","n/a",IF(J$3&gt;(A1stdlife+$F46),(Input!$H$143*(1+vanilla1)^0.5)-SUM($H46:I46),(Input!$H$143*(1+vanilla1)^0.5)/A1stdlife))</f>
        <v>1.6778661510288309</v>
      </c>
      <c r="K46" s="69">
        <f>IF(A1stdlife="n/a","n/a",IF(K$3&gt;(A1stdlife+$F46),(Input!$H$143*(1+vanilla1)^0.5)-SUM($H46:J46),(Input!$H$143*(1+vanilla1)^0.5)/A1stdlife))</f>
        <v>1.6778661510288309</v>
      </c>
      <c r="L46" s="69">
        <f>IF(A1stdlife="n/a","n/a",IF(L$3&gt;(A1stdlife+$F46),(Input!$H$143*(1+vanilla1)^0.5)-SUM($H46:K46),(Input!$H$143*(1+vanilla1)^0.5)/A1stdlife))</f>
        <v>1.6778661510288309</v>
      </c>
      <c r="M46" s="69">
        <f>IF(A1stdlife="n/a","n/a",IF(M$3&gt;(A1stdlife+$F46),(Input!$H$143*(1+vanilla1)^0.5)-SUM($H46:L46),(Input!$H$143*(1+vanilla1)^0.5)/A1stdlife))</f>
        <v>1.6778661510288309</v>
      </c>
      <c r="N46" s="69">
        <f>IF(A1stdlife="n/a","n/a",IF(N$3&gt;(A1stdlife+$F46),(Input!$H$143*(1+vanilla1)^0.5)-SUM($H46:M46),(Input!$H$143*(1+vanilla1)^0.5)/A1stdlife))</f>
        <v>1.6778661510288309</v>
      </c>
      <c r="O46" s="69">
        <f>IF(A1stdlife="n/a","n/a",IF(O$3&gt;(A1stdlife+$F46),(Input!$H$143*(1+vanilla1)^0.5)-SUM($H46:N46),(Input!$H$143*(1+vanilla1)^0.5)/A1stdlife))</f>
        <v>1.6778661510288309</v>
      </c>
      <c r="P46" s="69">
        <f>IF(A1stdlife="n/a","n/a",IF(P$3&gt;(A1stdlife+$F46),(Input!$H$143*(1+vanilla1)^0.5)-SUM($H46:O46),(Input!$H$143*(1+vanilla1)^0.5)/A1stdlife))</f>
        <v>1.6778661510288309</v>
      </c>
      <c r="Q46" s="69">
        <f>IF(A1stdlife="n/a","n/a",IF(Q$3&gt;(A1stdlife+$F46),(Input!$H$143*(1+vanilla1)^0.5)-SUM($H46:P46),(Input!$H$143*(1+vanilla1)^0.5)/A1stdlife))</f>
        <v>1.6778661510288309</v>
      </c>
      <c r="R46" s="30"/>
      <c r="S46" s="102"/>
      <c r="T46" s="102"/>
      <c r="U46" s="102"/>
      <c r="V46" s="102"/>
      <c r="W46" s="102"/>
      <c r="X46" s="102"/>
      <c r="Y46" s="102"/>
      <c r="Z46" s="102"/>
      <c r="AA46" s="102"/>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537"/>
      <c r="F47" s="87">
        <v>2</v>
      </c>
      <c r="G47" s="27"/>
      <c r="H47" s="149"/>
      <c r="I47" s="150"/>
      <c r="J47" s="69">
        <f>IF(A1stdlife="n/a","n/a",IF(J$3&gt;(A1stdlife+$F47),(Input!$I$143*(1+vanilla2)^0.5)-SUM($I47:I47),(Input!$I$143*(1+vanilla2)^0.5)/A1stdlife))</f>
        <v>0.5612792206013435</v>
      </c>
      <c r="K47" s="69">
        <f>IF(A1stdlife="n/a","n/a",IF(K$3&gt;(A1stdlife+$F47),(Input!$I$143*(1+vanilla2)^0.5)-SUM($I47:J47),(Input!$I$143*(1+vanilla2)^0.5)/A1stdlife))</f>
        <v>0.5612792206013435</v>
      </c>
      <c r="L47" s="69">
        <f>IF(A1stdlife="n/a","n/a",IF(L$3&gt;(A1stdlife+$F47),(Input!$I$143*(1+vanilla2)^0.5)-SUM($I47:K47),(Input!$I$143*(1+vanilla2)^0.5)/A1stdlife))</f>
        <v>0.5612792206013435</v>
      </c>
      <c r="M47" s="69">
        <f>IF(A1stdlife="n/a","n/a",IF(M$3&gt;(A1stdlife+$F47),(Input!$I$143*(1+vanilla2)^0.5)-SUM($I47:L47),(Input!$I$143*(1+vanilla2)^0.5)/A1stdlife))</f>
        <v>0.5612792206013435</v>
      </c>
      <c r="N47" s="69">
        <f>IF(A1stdlife="n/a","n/a",IF(N$3&gt;(A1stdlife+$F47),(Input!$I$143*(1+vanilla2)^0.5)-SUM($I47:M47),(Input!$I$143*(1+vanilla2)^0.5)/A1stdlife))</f>
        <v>0.5612792206013435</v>
      </c>
      <c r="O47" s="69">
        <f>IF(A1stdlife="n/a","n/a",IF(O$3&gt;(A1stdlife+$F47),(Input!$I$143*(1+vanilla2)^0.5)-SUM($I47:N47),(Input!$I$143*(1+vanilla2)^0.5)/A1stdlife))</f>
        <v>0.5612792206013435</v>
      </c>
      <c r="P47" s="69">
        <f>IF(A1stdlife="n/a","n/a",IF(P$3&gt;(A1stdlife+$F47),(Input!$I$143*(1+vanilla2)^0.5)-SUM($I47:O47),(Input!$I$143*(1+vanilla2)^0.5)/A1stdlife))</f>
        <v>0.5612792206013435</v>
      </c>
      <c r="Q47" s="69">
        <f>IF(A1stdlife="n/a","n/a",IF(Q$3&gt;(A1stdlife+$F47),(Input!$I$143*(1+vanilla2)^0.5)-SUM($I47:P47),(Input!$I$143*(1+vanilla2)^0.5)/A1stdlife))</f>
        <v>0.5612792206013435</v>
      </c>
      <c r="R47" s="30"/>
      <c r="S47" s="102"/>
      <c r="T47" s="102"/>
      <c r="U47" s="102"/>
      <c r="V47" s="102"/>
      <c r="W47" s="102"/>
      <c r="X47" s="102"/>
      <c r="Y47" s="102"/>
      <c r="Z47" s="102"/>
      <c r="AA47" s="102"/>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537"/>
      <c r="F48" s="87">
        <v>3</v>
      </c>
      <c r="G48" s="27"/>
      <c r="H48" s="149"/>
      <c r="I48" s="151"/>
      <c r="J48" s="150"/>
      <c r="K48" s="69">
        <f>IF(A1stdlife="n/a","n/a",IF(K$3&gt;(A1stdlife+$F48),(Input!$J$143*(1+vanilla3)^0.5)-SUM($J48:J48),(Input!$J$143*(1+vanilla3)^0.5)/A1stdlife))</f>
        <v>1.1219870722056304</v>
      </c>
      <c r="L48" s="69">
        <f>IF(A1stdlife="n/a","n/a",IF(L$3&gt;(A1stdlife+$F48),(Input!$J$143*(1+vanilla3)^0.5)-SUM($J48:K48),(Input!$J$143*(1+vanilla3)^0.5)/A1stdlife))</f>
        <v>1.1219870722056304</v>
      </c>
      <c r="M48" s="69">
        <f>IF(A1stdlife="n/a","n/a",IF(M$3&gt;(A1stdlife+$F48),(Input!$J$143*(1+vanilla3)^0.5)-SUM($J48:L48),(Input!$J$143*(1+vanilla3)^0.5)/A1stdlife))</f>
        <v>1.1219870722056304</v>
      </c>
      <c r="N48" s="69">
        <f>IF(A1stdlife="n/a","n/a",IF(N$3&gt;(A1stdlife+$F48),(Input!$J$143*(1+vanilla3)^0.5)-SUM($J48:M48),(Input!$J$143*(1+vanilla3)^0.5)/A1stdlife))</f>
        <v>1.1219870722056304</v>
      </c>
      <c r="O48" s="69">
        <f>IF(A1stdlife="n/a","n/a",IF(O$3&gt;(A1stdlife+$F48),(Input!$J$143*(1+vanilla3)^0.5)-SUM($J48:N48),(Input!$J$143*(1+vanilla3)^0.5)/A1stdlife))</f>
        <v>1.1219870722056304</v>
      </c>
      <c r="P48" s="69">
        <f>IF(A1stdlife="n/a","n/a",IF(P$3&gt;(A1stdlife+$F48),(Input!$J$143*(1+vanilla3)^0.5)-SUM($J48:O48),(Input!$J$143*(1+vanilla3)^0.5)/A1stdlife))</f>
        <v>1.1219870722056304</v>
      </c>
      <c r="Q48" s="69">
        <f>IF(A1stdlife="n/a","n/a",IF(Q$3&gt;(A1stdlife+$F48),(Input!$J$143*(1+vanilla3)^0.5)-SUM($J48:P48),(Input!$J$143*(1+vanilla3)^0.5)/A1stdlife))</f>
        <v>1.1219870722056304</v>
      </c>
      <c r="R48" s="30"/>
      <c r="S48" s="102"/>
      <c r="T48" s="102"/>
      <c r="U48" s="102"/>
      <c r="V48" s="102"/>
      <c r="W48" s="102"/>
      <c r="X48" s="102"/>
      <c r="Y48" s="102"/>
      <c r="Z48" s="102"/>
      <c r="AA48" s="102"/>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537"/>
      <c r="F49" s="87">
        <v>4</v>
      </c>
      <c r="G49" s="27"/>
      <c r="H49" s="149"/>
      <c r="I49" s="151"/>
      <c r="J49" s="151"/>
      <c r="K49" s="150"/>
      <c r="L49" s="69">
        <f>IF(A1stdlife="n/a","n/a",IF(L$3&gt;(A1stdlife+$F49),(Input!$K$143*(1+vanilla4)^0.5)-SUM($K49:K49),(Input!$K$143*(1+vanilla4)^0.5)/A1stdlife))</f>
        <v>0.52162292494968809</v>
      </c>
      <c r="M49" s="69">
        <f>IF(A1stdlife="n/a","n/a",IF(M$3&gt;(A1stdlife+$F49),(Input!$K$143*(1+vanilla4)^0.5)-SUM($K49:L49),(Input!$K$143*(1+vanilla4)^0.5)/A1stdlife))</f>
        <v>0.52162292494968809</v>
      </c>
      <c r="N49" s="69">
        <f>IF(A1stdlife="n/a","n/a",IF(N$3&gt;(A1stdlife+$F49),(Input!$K$143*(1+vanilla4)^0.5)-SUM($K49:M49),(Input!$K$143*(1+vanilla4)^0.5)/A1stdlife))</f>
        <v>0.52162292494968809</v>
      </c>
      <c r="O49" s="69">
        <f>IF(A1stdlife="n/a","n/a",IF(O$3&gt;(A1stdlife+$F49),(Input!$K$143*(1+vanilla4)^0.5)-SUM($K49:N49),(Input!$K$143*(1+vanilla4)^0.5)/A1stdlife))</f>
        <v>0.52162292494968809</v>
      </c>
      <c r="P49" s="69">
        <f>IF(A1stdlife="n/a","n/a",IF(P$3&gt;(A1stdlife+$F49),(Input!$K$143*(1+vanilla4)^0.5)-SUM($K49:O49),(Input!$K$143*(1+vanilla4)^0.5)/A1stdlife))</f>
        <v>0.52162292494968809</v>
      </c>
      <c r="Q49" s="69">
        <f>IF(A1stdlife="n/a","n/a",IF(Q$3&gt;(A1stdlife+$F49),(Input!$K$143*(1+vanilla4)^0.5)-SUM($K49:P49),(Input!$K$143*(1+vanilla4)^0.5)/A1stdlife))</f>
        <v>0.52162292494968809</v>
      </c>
      <c r="R49" s="30"/>
      <c r="S49" s="102"/>
      <c r="T49" s="102"/>
      <c r="U49" s="102"/>
      <c r="V49" s="102"/>
      <c r="W49" s="102"/>
      <c r="X49" s="102"/>
      <c r="Y49" s="102"/>
      <c r="Z49" s="102"/>
      <c r="AA49" s="102"/>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537"/>
      <c r="F50" s="87">
        <v>5</v>
      </c>
      <c r="G50" s="27"/>
      <c r="H50" s="214"/>
      <c r="I50" s="215"/>
      <c r="J50" s="215"/>
      <c r="K50" s="215"/>
      <c r="L50" s="216"/>
      <c r="M50" s="30">
        <f>IF(A1stdlife="n/a","n/a",IF(M$3&gt;(A1stdlife+$F50),(Input!$L$143*(1+vanilla5)^0.5)-SUM($L50:L50),(Input!$L$143*(1+vanilla5)^0.5)/A1stdlife))</f>
        <v>0.78351306885446692</v>
      </c>
      <c r="N50" s="30">
        <f>IF(A1stdlife="n/a","n/a",IF(N$3&gt;(A1stdlife+$F50),(Input!$L$143*(1+vanilla5)^0.5)-SUM($L50:M50),(Input!$L$143*(1+vanilla5)^0.5)/A1stdlife))</f>
        <v>0.78351306885446692</v>
      </c>
      <c r="O50" s="30">
        <f>IF(A1stdlife="n/a","n/a",IF(O$3&gt;(A1stdlife+$F50),(Input!$L$143*(1+vanilla5)^0.5)-SUM($L50:N50),(Input!$L$143*(1+vanilla5)^0.5)/A1stdlife))</f>
        <v>0.78351306885446692</v>
      </c>
      <c r="P50" s="30">
        <f>IF(A1stdlife="n/a","n/a",IF(P$3&gt;(A1stdlife+$F50),(Input!$L$143*(1+vanilla5)^0.5)-SUM($L50:O50),(Input!$L$143*(1+vanilla5)^0.5)/A1stdlife))</f>
        <v>0.78351306885446692</v>
      </c>
      <c r="Q50" s="30">
        <f>IF(A1stdlife="n/a","n/a",IF(Q$3&gt;(A1stdlife+$F50),(Input!$L$143*(1+vanilla5)^0.5)-SUM($L50:P50),(Input!$L$143*(1+vanilla5)^0.5)/A1stdlife))</f>
        <v>0.78351306885446692</v>
      </c>
      <c r="R50" s="30"/>
      <c r="S50" s="102"/>
      <c r="T50" s="102"/>
      <c r="U50" s="102"/>
      <c r="V50" s="102"/>
      <c r="W50" s="102"/>
      <c r="X50" s="102"/>
      <c r="Y50" s="102"/>
      <c r="Z50" s="102"/>
      <c r="AA50" s="102"/>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537"/>
      <c r="F51" s="87">
        <v>6</v>
      </c>
      <c r="G51" s="27"/>
      <c r="H51" s="214"/>
      <c r="I51" s="215"/>
      <c r="J51" s="215"/>
      <c r="K51" s="215"/>
      <c r="L51" s="215"/>
      <c r="M51" s="21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537"/>
      <c r="F52" s="87">
        <v>7</v>
      </c>
      <c r="G52" s="27"/>
      <c r="H52" s="214"/>
      <c r="I52" s="215"/>
      <c r="J52" s="215"/>
      <c r="K52" s="215"/>
      <c r="L52" s="215"/>
      <c r="M52" s="215"/>
      <c r="N52" s="21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537"/>
      <c r="F53" s="87">
        <v>8</v>
      </c>
      <c r="G53" s="27"/>
      <c r="H53" s="214"/>
      <c r="I53" s="215"/>
      <c r="J53" s="215"/>
      <c r="K53" s="215"/>
      <c r="L53" s="215"/>
      <c r="M53" s="215"/>
      <c r="N53" s="215"/>
      <c r="O53" s="216"/>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537"/>
      <c r="F54" s="87">
        <v>9</v>
      </c>
      <c r="G54" s="27"/>
      <c r="H54" s="214"/>
      <c r="I54" s="215"/>
      <c r="J54" s="215"/>
      <c r="K54" s="215"/>
      <c r="L54" s="215"/>
      <c r="M54" s="215"/>
      <c r="N54" s="215"/>
      <c r="O54" s="215"/>
      <c r="P54" s="216"/>
      <c r="Q54" s="30">
        <f>IF(A1stdlife="n/a","n/a",IF(Q$3&gt;(A1stdlife+$F54),(Input!$P$143*(1+vanilla9)^0.5)-SUM($P54:P54),(Input!$P$143*(1+vanilla9)^0.5)/A1stdlife))</f>
        <v>0</v>
      </c>
      <c r="R54" s="30"/>
      <c r="S54" s="102"/>
      <c r="T54" s="102"/>
      <c r="U54" s="102"/>
      <c r="V54" s="102"/>
      <c r="W54" s="102"/>
      <c r="X54" s="102"/>
      <c r="Y54" s="102"/>
      <c r="Z54" s="102"/>
      <c r="AA54" s="102"/>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537"/>
      <c r="F55" s="88">
        <v>10</v>
      </c>
      <c r="G55" s="27"/>
      <c r="H55" s="214"/>
      <c r="I55" s="215"/>
      <c r="J55" s="215"/>
      <c r="K55" s="215"/>
      <c r="L55" s="215"/>
      <c r="M55" s="215"/>
      <c r="N55" s="215"/>
      <c r="O55" s="215"/>
      <c r="P55" s="215"/>
      <c r="Q55" s="216"/>
      <c r="R55" s="30"/>
      <c r="S55" s="102"/>
      <c r="T55" s="102"/>
      <c r="U55" s="102"/>
      <c r="V55" s="102"/>
      <c r="W55" s="102"/>
      <c r="X55" s="102"/>
      <c r="Y55" s="102"/>
      <c r="Z55" s="102"/>
      <c r="AA55" s="102"/>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v>
      </c>
      <c r="E56" s="9"/>
      <c r="F56" s="9"/>
      <c r="G56" s="124"/>
      <c r="H56" s="167">
        <f>-SUM(H44:H55)</f>
        <v>-6.5088064401783097</v>
      </c>
      <c r="I56" s="167">
        <f>-SUM(I44:I55)</f>
        <v>-8.1866725912071399</v>
      </c>
      <c r="J56" s="167">
        <f>-SUM(J44:J55)</f>
        <v>-8.747951811808484</v>
      </c>
      <c r="K56" s="167">
        <f>-SUM(K44:K55)</f>
        <v>-9.8699388840141147</v>
      </c>
      <c r="L56" s="167">
        <f>-SUM(L44:L55)</f>
        <v>-10.391561808963802</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4"/>
      <c r="E57" s="34" t="s">
        <v>28</v>
      </c>
      <c r="F57" s="33"/>
      <c r="G57" s="178"/>
      <c r="H57" s="68">
        <f>IF(H$3&gt;A2remlife,A2value-SUM($G57:G57),IF(A2remlife="N/A","n/a",A2value/A2remlife))</f>
        <v>49.31635738783995</v>
      </c>
      <c r="I57" s="68">
        <f>IF(I$3&gt;A2remlife,A2value-SUM($G57:H57),IF(A2remlife="N/A","n/a",A2value/A2remlife))</f>
        <v>49.31635738783995</v>
      </c>
      <c r="J57" s="68">
        <f>IF(J$3&gt;A2remlife,A2value-SUM($G57:I57),IF(A2remlife="N/A","n/a",A2value/A2remlife))</f>
        <v>49.31635738783995</v>
      </c>
      <c r="K57" s="68">
        <f>IF(K$3&gt;A2remlife,A2value-SUM($G57:J57),IF(A2remlife="N/A","n/a",A2value/A2remlife))</f>
        <v>49.31635738783995</v>
      </c>
      <c r="L57" s="68">
        <f>IF(L$3&gt;A2remlife,A2value-SUM($G57:K57),IF(A2remlife="N/A","n/a",A2value/A2remlife))</f>
        <v>49.31635738783995</v>
      </c>
      <c r="M57" s="68">
        <f>IF(M$3&gt;A2remlife,A2value-SUM($G57:L57),IF(A2remlife="N/A","n/a",A2value/A2remlife))</f>
        <v>49.31635738783995</v>
      </c>
      <c r="N57" s="68">
        <f>IF(N$3&gt;A2remlife,A2value-SUM($G57:M57),IF(A2remlife="N/A","n/a",A2value/A2remlife))</f>
        <v>49.31635738783995</v>
      </c>
      <c r="O57" s="68">
        <f>IF(O$3&gt;A2remlife,A2value-SUM($G57:N57),IF(A2remlife="N/A","n/a",A2value/A2remlife))</f>
        <v>49.31635738783995</v>
      </c>
      <c r="P57" s="68">
        <f>IF(P$3&gt;A2remlife,A2value-SUM($G57:O57),IF(A2remlife="N/A","n/a",A2value/A2remlife))</f>
        <v>49.31635738783995</v>
      </c>
      <c r="Q57" s="68">
        <f>IF(Q$3&gt;A2remlife,A2value-SUM($G57:P57),IF(A2remlife="N/A","n/a",A2value/A2remlife))</f>
        <v>49.31635738783995</v>
      </c>
      <c r="R57" s="68"/>
      <c r="S57" s="104"/>
      <c r="T57" s="104"/>
      <c r="U57" s="104"/>
      <c r="V57" s="104"/>
      <c r="W57" s="104"/>
      <c r="X57" s="104"/>
      <c r="Y57" s="104"/>
      <c r="Z57" s="104"/>
      <c r="AA57" s="104"/>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536" t="s">
        <v>86</v>
      </c>
      <c r="F58" s="87">
        <v>0</v>
      </c>
      <c r="G58" s="124"/>
      <c r="H58" s="69"/>
      <c r="I58" s="69"/>
      <c r="J58" s="69"/>
      <c r="K58" s="69"/>
      <c r="L58" s="69"/>
      <c r="M58" s="166"/>
      <c r="N58" s="113"/>
      <c r="O58" s="69"/>
      <c r="P58" s="69"/>
      <c r="Q58" s="69"/>
      <c r="R58" s="69"/>
      <c r="S58" s="104"/>
      <c r="T58" s="104"/>
      <c r="U58" s="104"/>
      <c r="V58" s="104"/>
      <c r="W58" s="104"/>
      <c r="X58" s="104"/>
      <c r="Y58" s="104"/>
      <c r="Z58" s="104"/>
      <c r="AA58" s="104"/>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537"/>
      <c r="F59" s="87">
        <v>1</v>
      </c>
      <c r="G59" s="124"/>
      <c r="H59" s="148"/>
      <c r="I59" s="69">
        <f>IF(A2stdlife="n/a","n/a",IF(I$3&gt;(A2stdlife+$F59),(Input!$H$144*(1+vanilla1)^0.5)-SUM($H59:H59),(Input!$H$144*(1+vanilla1)^0.5)/A2stdlife))</f>
        <v>0.90970236640872393</v>
      </c>
      <c r="J59" s="69">
        <f>IF(A2stdlife="n/a","n/a",IF(J$3&gt;(A2stdlife+$F59),(Input!$H$144*(1+vanilla1)^0.5)-SUM($H59:I59),(Input!$H$144*(1+vanilla1)^0.5)/A2stdlife))</f>
        <v>0.90970236640872393</v>
      </c>
      <c r="K59" s="69">
        <f>IF(A2stdlife="n/a","n/a",IF(K$3&gt;(A2stdlife+$F59),(Input!$H$144*(1+vanilla1)^0.5)-SUM($H59:J59),(Input!$H$144*(1+vanilla1)^0.5)/A2stdlife))</f>
        <v>0.90970236640872393</v>
      </c>
      <c r="L59" s="69">
        <f>IF(A2stdlife="n/a","n/a",IF(L$3&gt;(A2stdlife+$F59),(Input!$H$144*(1+vanilla1)^0.5)-SUM($H59:K59),(Input!$H$144*(1+vanilla1)^0.5)/A2stdlife))</f>
        <v>0.90970236640872393</v>
      </c>
      <c r="M59" s="69">
        <f>IF(A2stdlife="n/a","n/a",IF(M$3&gt;(A2stdlife+$F59),(Input!$H$144*(1+vanilla1)^0.5)-SUM($H59:L59),(Input!$H$144*(1+vanilla1)^0.5)/A2stdlife))</f>
        <v>0.90970236640872393</v>
      </c>
      <c r="N59" s="69">
        <f>IF(A2stdlife="n/a","n/a",IF(N$3&gt;(A2stdlife+$F59),(Input!$H$144*(1+vanilla1)^0.5)-SUM($H59:M59),(Input!$H$144*(1+vanilla1)^0.5)/A2stdlife))</f>
        <v>0.90970236640872393</v>
      </c>
      <c r="O59" s="69">
        <f>IF(A2stdlife="n/a","n/a",IF(O$3&gt;(A2stdlife+$F59),(Input!$H$144*(1+vanilla1)^0.5)-SUM($H59:N59),(Input!$H$144*(1+vanilla1)^0.5)/A2stdlife))</f>
        <v>0.90970236640872393</v>
      </c>
      <c r="P59" s="69">
        <f>IF(A2stdlife="n/a","n/a",IF(P$3&gt;(A2stdlife+$F59),(Input!$H$144*(1+vanilla1)^0.5)-SUM($H59:O59),(Input!$H$144*(1+vanilla1)^0.5)/A2stdlife))</f>
        <v>0.90970236640872393</v>
      </c>
      <c r="Q59" s="69">
        <f>IF(A2stdlife="n/a","n/a",IF(Q$3&gt;(A2stdlife+$F59),(Input!$H$144*(1+vanilla1)^0.5)-SUM($H59:P59),(Input!$H$144*(1+vanilla1)^0.5)/A2stdlife))</f>
        <v>0.90970236640872393</v>
      </c>
      <c r="R59" s="69"/>
      <c r="S59" s="104"/>
      <c r="T59" s="104"/>
      <c r="U59" s="104"/>
      <c r="V59" s="104"/>
      <c r="W59" s="104"/>
      <c r="X59" s="104"/>
      <c r="Y59" s="104"/>
      <c r="Z59" s="104"/>
      <c r="AA59" s="104"/>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537"/>
      <c r="F60" s="87">
        <v>2</v>
      </c>
      <c r="G60" s="124"/>
      <c r="H60" s="149"/>
      <c r="I60" s="150"/>
      <c r="J60" s="69">
        <f>IF(A2stdlife="n/a","n/a",IF(J$3&gt;(A2stdlife+$F60),(Input!$I$144*(1+vanilla2)^0.5)-SUM($I60:I60),(Input!$I$144*(1+vanilla2)^0.5)/A2stdlife))</f>
        <v>1.499425390346482</v>
      </c>
      <c r="K60" s="69">
        <f>IF(A2stdlife="n/a","n/a",IF(K$3&gt;(A2stdlife+$F60),(Input!$I$144*(1+vanilla2)^0.5)-SUM($I60:J60),(Input!$I$144*(1+vanilla2)^0.5)/A2stdlife))</f>
        <v>1.499425390346482</v>
      </c>
      <c r="L60" s="69">
        <f>IF(A2stdlife="n/a","n/a",IF(L$3&gt;(A2stdlife+$F60),(Input!$I$144*(1+vanilla2)^0.5)-SUM($I60:K60),(Input!$I$144*(1+vanilla2)^0.5)/A2stdlife))</f>
        <v>1.499425390346482</v>
      </c>
      <c r="M60" s="69">
        <f>IF(A2stdlife="n/a","n/a",IF(M$3&gt;(A2stdlife+$F60),(Input!$I$144*(1+vanilla2)^0.5)-SUM($I60:L60),(Input!$I$144*(1+vanilla2)^0.5)/A2stdlife))</f>
        <v>1.499425390346482</v>
      </c>
      <c r="N60" s="69">
        <f>IF(A2stdlife="n/a","n/a",IF(N$3&gt;(A2stdlife+$F60),(Input!$I$144*(1+vanilla2)^0.5)-SUM($I60:M60),(Input!$I$144*(1+vanilla2)^0.5)/A2stdlife))</f>
        <v>1.499425390346482</v>
      </c>
      <c r="O60" s="69">
        <f>IF(A2stdlife="n/a","n/a",IF(O$3&gt;(A2stdlife+$F60),(Input!$I$144*(1+vanilla2)^0.5)-SUM($I60:N60),(Input!$I$144*(1+vanilla2)^0.5)/A2stdlife))</f>
        <v>1.499425390346482</v>
      </c>
      <c r="P60" s="69">
        <f>IF(A2stdlife="n/a","n/a",IF(P$3&gt;(A2stdlife+$F60),(Input!$I$144*(1+vanilla2)^0.5)-SUM($I60:O60),(Input!$I$144*(1+vanilla2)^0.5)/A2stdlife))</f>
        <v>1.499425390346482</v>
      </c>
      <c r="Q60" s="69">
        <f>IF(A2stdlife="n/a","n/a",IF(Q$3&gt;(A2stdlife+$F60),(Input!$I$144*(1+vanilla2)^0.5)-SUM($I60:P60),(Input!$I$144*(1+vanilla2)^0.5)/A2stdlife))</f>
        <v>1.499425390346482</v>
      </c>
      <c r="R60" s="69"/>
      <c r="S60" s="104"/>
      <c r="T60" s="104"/>
      <c r="U60" s="104"/>
      <c r="V60" s="104"/>
      <c r="W60" s="104"/>
      <c r="X60" s="104"/>
      <c r="Y60" s="104"/>
      <c r="Z60" s="104"/>
      <c r="AA60" s="104"/>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537"/>
      <c r="F61" s="87">
        <v>3</v>
      </c>
      <c r="G61" s="124"/>
      <c r="H61" s="149"/>
      <c r="I61" s="151"/>
      <c r="J61" s="150"/>
      <c r="K61" s="69">
        <f>IF(A2stdlife="n/a","n/a",IF(K$3&gt;(A2stdlife+$F61),(Input!$J$144*(1+vanilla3)^0.5)-SUM($J61:J61),(Input!$J$144*(1+vanilla3)^0.5)/A2stdlife))</f>
        <v>1.3119269343408857</v>
      </c>
      <c r="L61" s="69">
        <f>IF(A2stdlife="n/a","n/a",IF(L$3&gt;(A2stdlife+$F61),(Input!$J$144*(1+vanilla3)^0.5)-SUM($J61:K61),(Input!$J$144*(1+vanilla3)^0.5)/A2stdlife))</f>
        <v>1.3119269343408857</v>
      </c>
      <c r="M61" s="69">
        <f>IF(A2stdlife="n/a","n/a",IF(M$3&gt;(A2stdlife+$F61),(Input!$J$144*(1+vanilla3)^0.5)-SUM($J61:L61),(Input!$J$144*(1+vanilla3)^0.5)/A2stdlife))</f>
        <v>1.3119269343408857</v>
      </c>
      <c r="N61" s="69">
        <f>IF(A2stdlife="n/a","n/a",IF(N$3&gt;(A2stdlife+$F61),(Input!$J$144*(1+vanilla3)^0.5)-SUM($J61:M61),(Input!$J$144*(1+vanilla3)^0.5)/A2stdlife))</f>
        <v>1.3119269343408857</v>
      </c>
      <c r="O61" s="69">
        <f>IF(A2stdlife="n/a","n/a",IF(O$3&gt;(A2stdlife+$F61),(Input!$J$144*(1+vanilla3)^0.5)-SUM($J61:N61),(Input!$J$144*(1+vanilla3)^0.5)/A2stdlife))</f>
        <v>1.3119269343408857</v>
      </c>
      <c r="P61" s="69">
        <f>IF(A2stdlife="n/a","n/a",IF(P$3&gt;(A2stdlife+$F61),(Input!$J$144*(1+vanilla3)^0.5)-SUM($J61:O61),(Input!$J$144*(1+vanilla3)^0.5)/A2stdlife))</f>
        <v>1.3119269343408857</v>
      </c>
      <c r="Q61" s="69">
        <f>IF(A2stdlife="n/a","n/a",IF(Q$3&gt;(A2stdlife+$F61),(Input!$J$144*(1+vanilla3)^0.5)-SUM($J61:P61),(Input!$J$144*(1+vanilla3)^0.5)/A2stdlife))</f>
        <v>1.3119269343408857</v>
      </c>
      <c r="R61" s="69"/>
      <c r="S61" s="104"/>
      <c r="T61" s="104"/>
      <c r="U61" s="104"/>
      <c r="V61" s="104"/>
      <c r="W61" s="104"/>
      <c r="X61" s="104"/>
      <c r="Y61" s="104"/>
      <c r="Z61" s="104"/>
      <c r="AA61" s="104"/>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537"/>
      <c r="F62" s="87">
        <v>4</v>
      </c>
      <c r="G62" s="124"/>
      <c r="H62" s="149"/>
      <c r="I62" s="151"/>
      <c r="J62" s="151"/>
      <c r="K62" s="150"/>
      <c r="L62" s="69">
        <f>IF(A2stdlife="n/a","n/a",IF(L$3&gt;(A2stdlife+$F62),(Input!$K$144*(1+vanilla4)^0.5)-SUM($K62:K62),(Input!$K$144*(1+vanilla4)^0.5)/A2stdlife))</f>
        <v>2.0294054594500497</v>
      </c>
      <c r="M62" s="69">
        <f>IF(A2stdlife="n/a","n/a",IF(M$3&gt;(A2stdlife+$F62),(Input!$K$144*(1+vanilla4)^0.5)-SUM($K62:L62),(Input!$K$144*(1+vanilla4)^0.5)/A2stdlife))</f>
        <v>2.0294054594500497</v>
      </c>
      <c r="N62" s="69">
        <f>IF(A2stdlife="n/a","n/a",IF(N$3&gt;(A2stdlife+$F62),(Input!$K$144*(1+vanilla4)^0.5)-SUM($K62:M62),(Input!$K$144*(1+vanilla4)^0.5)/A2stdlife))</f>
        <v>2.0294054594500497</v>
      </c>
      <c r="O62" s="69">
        <f>IF(A2stdlife="n/a","n/a",IF(O$3&gt;(A2stdlife+$F62),(Input!$K$144*(1+vanilla4)^0.5)-SUM($K62:N62),(Input!$K$144*(1+vanilla4)^0.5)/A2stdlife))</f>
        <v>2.0294054594500497</v>
      </c>
      <c r="P62" s="69">
        <f>IF(A2stdlife="n/a","n/a",IF(P$3&gt;(A2stdlife+$F62),(Input!$K$144*(1+vanilla4)^0.5)-SUM($K62:O62),(Input!$K$144*(1+vanilla4)^0.5)/A2stdlife))</f>
        <v>2.0294054594500497</v>
      </c>
      <c r="Q62" s="69">
        <f>IF(A2stdlife="n/a","n/a",IF(Q$3&gt;(A2stdlife+$F62),(Input!$K$144*(1+vanilla4)^0.5)-SUM($K62:P62),(Input!$K$144*(1+vanilla4)^0.5)/A2stdlife))</f>
        <v>2.0294054594500497</v>
      </c>
      <c r="R62" s="69"/>
      <c r="S62" s="104"/>
      <c r="T62" s="104"/>
      <c r="U62" s="104"/>
      <c r="V62" s="104"/>
      <c r="W62" s="104"/>
      <c r="X62" s="104"/>
      <c r="Y62" s="104"/>
      <c r="Z62" s="104"/>
      <c r="AA62" s="104"/>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537"/>
      <c r="F63" s="87">
        <v>5</v>
      </c>
      <c r="G63" s="124"/>
      <c r="H63" s="149"/>
      <c r="I63" s="151"/>
      <c r="J63" s="151"/>
      <c r="K63" s="151"/>
      <c r="L63" s="150"/>
      <c r="M63" s="69">
        <f>IF(A2stdlife="n/a","n/a",IF(M$3&gt;(A2stdlife+$F63),(Input!$L$144*(1+vanilla5)^0.5)-SUM($L63:L63),(Input!$L$144*(1+vanilla5)^0.5)/A2stdlife))</f>
        <v>2.1869395186371468</v>
      </c>
      <c r="N63" s="69">
        <f>IF(A2stdlife="n/a","n/a",IF(N$3&gt;(A2stdlife+$F63),(Input!$L$144*(1+vanilla5)^0.5)-SUM($L63:M63),(Input!$L$144*(1+vanilla5)^0.5)/A2stdlife))</f>
        <v>2.1869395186371468</v>
      </c>
      <c r="O63" s="69">
        <f>IF(A2stdlife="n/a","n/a",IF(O$3&gt;(A2stdlife+$F63),(Input!$L$144*(1+vanilla5)^0.5)-SUM($L63:N63),(Input!$L$144*(1+vanilla5)^0.5)/A2stdlife))</f>
        <v>2.1869395186371468</v>
      </c>
      <c r="P63" s="69">
        <f>IF(A2stdlife="n/a","n/a",IF(P$3&gt;(A2stdlife+$F63),(Input!$L$144*(1+vanilla5)^0.5)-SUM($L63:O63),(Input!$L$144*(1+vanilla5)^0.5)/A2stdlife))</f>
        <v>2.1869395186371468</v>
      </c>
      <c r="Q63" s="69">
        <f>IF(A2stdlife="n/a","n/a",IF(Q$3&gt;(A2stdlife+$F63),(Input!$L$144*(1+vanilla5)^0.5)-SUM($L63:P63),(Input!$L$144*(1+vanilla5)^0.5)/A2stdlife))</f>
        <v>2.1869395186371468</v>
      </c>
      <c r="R63" s="69"/>
      <c r="S63" s="104"/>
      <c r="T63" s="104"/>
      <c r="U63" s="104"/>
      <c r="V63" s="104"/>
      <c r="W63" s="104"/>
      <c r="X63" s="104"/>
      <c r="Y63" s="104"/>
      <c r="Z63" s="104"/>
      <c r="AA63" s="104"/>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537"/>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537"/>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537"/>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537"/>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537"/>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system assets</v>
      </c>
      <c r="E69" s="9"/>
      <c r="F69" s="9"/>
      <c r="G69" s="124"/>
      <c r="H69" s="69">
        <f>-SUM(H57:H68)</f>
        <v>-49.31635738783995</v>
      </c>
      <c r="I69" s="69">
        <f>-SUM(I57:I68)</f>
        <v>-50.226059754248674</v>
      </c>
      <c r="J69" s="69">
        <f>-SUM(J57:J68)</f>
        <v>-51.725485144595154</v>
      </c>
      <c r="K69" s="69">
        <f>-SUM(K57:K68)</f>
        <v>-53.037412078936043</v>
      </c>
      <c r="L69" s="69">
        <f>-SUM(L57:L68)</f>
        <v>-55.06681753838609</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Standard metering</v>
      </c>
      <c r="D70" s="164"/>
      <c r="E70" s="34" t="s">
        <v>28</v>
      </c>
      <c r="F70" s="33"/>
      <c r="G70" s="178"/>
      <c r="H70" s="68">
        <f>IF(H$3&gt;A3remlife,A3value-SUM($G70:G70),IF(A3remlife="N/A","n/a",A3value/A3remlife))</f>
        <v>5.6905333649627119</v>
      </c>
      <c r="I70" s="68">
        <f>IF(I$3&gt;A3remlife,A3value-SUM($G70:H70),IF(A3remlife="N/A","n/a",A3value/A3remlife))</f>
        <v>5.6905333649627119</v>
      </c>
      <c r="J70" s="68">
        <f>IF(J$3&gt;A3remlife,A3value-SUM($G70:I70),IF(A3remlife="N/A","n/a",A3value/A3remlife))</f>
        <v>5.6905333649627119</v>
      </c>
      <c r="K70" s="68">
        <f>IF(K$3&gt;A3remlife,A3value-SUM($G70:J70),IF(A3remlife="N/A","n/a",A3value/A3remlife))</f>
        <v>5.6905333649627119</v>
      </c>
      <c r="L70" s="68">
        <f>IF(L$3&gt;A3remlife,A3value-SUM($G70:K70),IF(A3remlife="N/A","n/a",A3value/A3remlife))</f>
        <v>5.6905333649627119</v>
      </c>
      <c r="M70" s="68">
        <f>IF(M$3&gt;A3remlife,A3value-SUM($G70:L70),IF(A3remlife="N/A","n/a",A3value/A3remlife))</f>
        <v>5.6905333649627119</v>
      </c>
      <c r="N70" s="68">
        <f>IF(N$3&gt;A3remlife,A3value-SUM($G70:M70),IF(A3remlife="N/A","n/a",A3value/A3remlife))</f>
        <v>0.34687889631135249</v>
      </c>
      <c r="O70" s="68">
        <f>IF(O$3&gt;A3remlife,A3value-SUM($G70:N70),IF(A3remlife="N/A","n/a",A3value/A3remlife))</f>
        <v>0</v>
      </c>
      <c r="P70" s="68">
        <f>IF(P$3&gt;A3remlife,A3value-SUM($G70:O70),IF(A3remlife="N/A","n/a",A3value/A3remlife))</f>
        <v>0</v>
      </c>
      <c r="Q70" s="68">
        <f>IF(Q$3&gt;A3remlife,A3value-SUM($G70:P70),IF(A3remlife="N/A","n/a",A3value/A3remlife))</f>
        <v>0</v>
      </c>
      <c r="R70" s="68"/>
      <c r="S70" s="104"/>
      <c r="T70" s="104"/>
      <c r="U70" s="104"/>
      <c r="V70" s="104"/>
      <c r="W70" s="104"/>
      <c r="X70" s="104"/>
      <c r="Y70" s="104"/>
      <c r="Z70" s="104"/>
      <c r="AA70" s="104"/>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536" t="s">
        <v>86</v>
      </c>
      <c r="F71" s="87">
        <v>0</v>
      </c>
      <c r="G71" s="124"/>
      <c r="H71" s="69"/>
      <c r="I71" s="69"/>
      <c r="J71" s="69"/>
      <c r="K71" s="69"/>
      <c r="L71" s="69"/>
      <c r="M71" s="166"/>
      <c r="N71" s="113"/>
      <c r="O71" s="69"/>
      <c r="P71" s="69"/>
      <c r="Q71" s="69"/>
      <c r="R71" s="69"/>
      <c r="S71" s="104"/>
      <c r="T71" s="104"/>
      <c r="U71" s="104"/>
      <c r="V71" s="104"/>
      <c r="W71" s="104"/>
      <c r="X71" s="104"/>
      <c r="Y71" s="104"/>
      <c r="Z71" s="104"/>
      <c r="AA71" s="104"/>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537"/>
      <c r="F72" s="87">
        <v>1</v>
      </c>
      <c r="G72" s="124"/>
      <c r="H72" s="148"/>
      <c r="I72" s="69" t="str">
        <f>IF(A3stdlife="n/a","n/a",IF(I$3&gt;(A3stdlife+$F72),(Input!$H$145*(1+vanilla1)^0.5)-SUM($H72:H72),(Input!$H$145*(1+vanilla1)^0.5)/A3stdlife))</f>
        <v>n/a</v>
      </c>
      <c r="J72" s="69" t="str">
        <f>IF(A3stdlife="n/a","n/a",IF(J$3&gt;(A3stdlife+$F72),(Input!$H$145*(1+vanilla1)^0.5)-SUM($H72:I72),(Input!$H$145*(1+vanilla1)^0.5)/A3stdlife))</f>
        <v>n/a</v>
      </c>
      <c r="K72" s="69" t="str">
        <f>IF(A3stdlife="n/a","n/a",IF(K$3&gt;(A3stdlife+$F72),(Input!$H$145*(1+vanilla1)^0.5)-SUM($H72:J72),(Input!$H$145*(1+vanilla1)^0.5)/A3stdlife))</f>
        <v>n/a</v>
      </c>
      <c r="L72" s="69" t="str">
        <f>IF(A3stdlife="n/a","n/a",IF(L$3&gt;(A3stdlife+$F72),(Input!$H$145*(1+vanilla1)^0.5)-SUM($H72:K72),(Input!$H$145*(1+vanilla1)^0.5)/A3stdlife))</f>
        <v>n/a</v>
      </c>
      <c r="M72" s="69" t="str">
        <f>IF(A3stdlife="n/a","n/a",IF(M$3&gt;(A3stdlife+$F72),(Input!$H$145*(1+vanilla1)^0.5)-SUM($H72:L72),(Input!$H$145*(1+vanilla1)^0.5)/A3stdlife))</f>
        <v>n/a</v>
      </c>
      <c r="N72" s="69" t="str">
        <f>IF(A3stdlife="n/a","n/a",IF(N$3&gt;(A3stdlife+$F72),(Input!$H$145*(1+vanilla1)^0.5)-SUM($H72:M72),(Input!$H$145*(1+vanilla1)^0.5)/A3stdlife))</f>
        <v>n/a</v>
      </c>
      <c r="O72" s="69" t="str">
        <f>IF(A3stdlife="n/a","n/a",IF(O$3&gt;(A3stdlife+$F72),(Input!$H$145*(1+vanilla1)^0.5)-SUM($H72:N72),(Input!$H$145*(1+vanilla1)^0.5)/A3stdlife))</f>
        <v>n/a</v>
      </c>
      <c r="P72" s="69" t="str">
        <f>IF(A3stdlife="n/a","n/a",IF(P$3&gt;(A3stdlife+$F72),(Input!$H$145*(1+vanilla1)^0.5)-SUM($H72:O72),(Input!$H$145*(1+vanilla1)^0.5)/A3stdlife))</f>
        <v>n/a</v>
      </c>
      <c r="Q72" s="69" t="str">
        <f>IF(A3stdlife="n/a","n/a",IF(Q$3&gt;(A3stdlife+$F72),(Input!$H$145*(1+vanilla1)^0.5)-SUM($H72:P72),(Input!$H$145*(1+vanilla1)^0.5)/A3stdlife))</f>
        <v>n/a</v>
      </c>
      <c r="R72" s="69"/>
      <c r="S72" s="104"/>
      <c r="T72" s="104"/>
      <c r="U72" s="104"/>
      <c r="V72" s="104"/>
      <c r="W72" s="104"/>
      <c r="X72" s="104"/>
      <c r="Y72" s="104"/>
      <c r="Z72" s="104"/>
      <c r="AA72" s="104"/>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537"/>
      <c r="F73" s="87">
        <v>2</v>
      </c>
      <c r="G73" s="124"/>
      <c r="H73" s="149"/>
      <c r="I73" s="150"/>
      <c r="J73" s="69" t="str">
        <f>IF(A3stdlife="n/a","n/a",IF(J$3&gt;(A3stdlife+$F73),(Input!$I$145*(1+vanilla2)^0.5)-SUM($I73:I73),(Input!$I$145*(1+vanilla2)^0.5)/A3stdlife))</f>
        <v>n/a</v>
      </c>
      <c r="K73" s="69" t="str">
        <f>IF(A3stdlife="n/a","n/a",IF(K$3&gt;(A3stdlife+$F73),(Input!$I$145*(1+vanilla2)^0.5)-SUM($I73:J73),(Input!$I$145*(1+vanilla2)^0.5)/A3stdlife))</f>
        <v>n/a</v>
      </c>
      <c r="L73" s="69" t="str">
        <f>IF(A3stdlife="n/a","n/a",IF(L$3&gt;(A3stdlife+$F73),(Input!$I$145*(1+vanilla2)^0.5)-SUM($I73:K73),(Input!$I$145*(1+vanilla2)^0.5)/A3stdlife))</f>
        <v>n/a</v>
      </c>
      <c r="M73" s="69" t="str">
        <f>IF(A3stdlife="n/a","n/a",IF(M$3&gt;(A3stdlife+$F73),(Input!$I$145*(1+vanilla2)^0.5)-SUM($I73:L73),(Input!$I$145*(1+vanilla2)^0.5)/A3stdlife))</f>
        <v>n/a</v>
      </c>
      <c r="N73" s="69" t="str">
        <f>IF(A3stdlife="n/a","n/a",IF(N$3&gt;(A3stdlife+$F73),(Input!$I$145*(1+vanilla2)^0.5)-SUM($I73:M73),(Input!$I$145*(1+vanilla2)^0.5)/A3stdlife))</f>
        <v>n/a</v>
      </c>
      <c r="O73" s="69" t="str">
        <f>IF(A3stdlife="n/a","n/a",IF(O$3&gt;(A3stdlife+$F73),(Input!$I$145*(1+vanilla2)^0.5)-SUM($I73:N73),(Input!$I$145*(1+vanilla2)^0.5)/A3stdlife))</f>
        <v>n/a</v>
      </c>
      <c r="P73" s="69" t="str">
        <f>IF(A3stdlife="n/a","n/a",IF(P$3&gt;(A3stdlife+$F73),(Input!$I$145*(1+vanilla2)^0.5)-SUM($I73:O73),(Input!$I$145*(1+vanilla2)^0.5)/A3stdlife))</f>
        <v>n/a</v>
      </c>
      <c r="Q73" s="69" t="str">
        <f>IF(A3stdlife="n/a","n/a",IF(Q$3&gt;(A3stdlife+$F73),(Input!$I$145*(1+vanilla2)^0.5)-SUM($I73:P73),(Input!$I$145*(1+vanilla2)^0.5)/A3stdlife))</f>
        <v>n/a</v>
      </c>
      <c r="R73" s="69"/>
      <c r="S73" s="104"/>
      <c r="T73" s="104"/>
      <c r="U73" s="104"/>
      <c r="V73" s="104"/>
      <c r="W73" s="104"/>
      <c r="X73" s="104"/>
      <c r="Y73" s="104"/>
      <c r="Z73" s="104"/>
      <c r="AA73" s="104"/>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537"/>
      <c r="F74" s="87">
        <v>3</v>
      </c>
      <c r="G74" s="124"/>
      <c r="H74" s="149"/>
      <c r="I74" s="151"/>
      <c r="J74" s="150"/>
      <c r="K74" s="69" t="str">
        <f>IF(A3stdlife="n/a","n/a",IF(K$3&gt;(A3stdlife+$F74),(Input!$J$145*(1+vanilla3)^0.5)-SUM($J74:J74),(Input!$J$145*(1+vanilla3)^0.5)/A3stdlife))</f>
        <v>n/a</v>
      </c>
      <c r="L74" s="69" t="str">
        <f>IF(A3stdlife="n/a","n/a",IF(L$3&gt;(A3stdlife+$F74),(Input!$J$145*(1+vanilla3)^0.5)-SUM($J74:K74),(Input!$J$145*(1+vanilla3)^0.5)/A3stdlife))</f>
        <v>n/a</v>
      </c>
      <c r="M74" s="69" t="str">
        <f>IF(A3stdlife="n/a","n/a",IF(M$3&gt;(A3stdlife+$F74),(Input!$J$145*(1+vanilla3)^0.5)-SUM($J74:L74),(Input!$J$145*(1+vanilla3)^0.5)/A3stdlife))</f>
        <v>n/a</v>
      </c>
      <c r="N74" s="69" t="str">
        <f>IF(A3stdlife="n/a","n/a",IF(N$3&gt;(A3stdlife+$F74),(Input!$J$145*(1+vanilla3)^0.5)-SUM($J74:M74),(Input!$J$145*(1+vanilla3)^0.5)/A3stdlife))</f>
        <v>n/a</v>
      </c>
      <c r="O74" s="69" t="str">
        <f>IF(A3stdlife="n/a","n/a",IF(O$3&gt;(A3stdlife+$F74),(Input!$J$145*(1+vanilla3)^0.5)-SUM($J74:N74),(Input!$J$145*(1+vanilla3)^0.5)/A3stdlife))</f>
        <v>n/a</v>
      </c>
      <c r="P74" s="69" t="str">
        <f>IF(A3stdlife="n/a","n/a",IF(P$3&gt;(A3stdlife+$F74),(Input!$J$145*(1+vanilla3)^0.5)-SUM($J74:O74),(Input!$J$145*(1+vanilla3)^0.5)/A3stdlife))</f>
        <v>n/a</v>
      </c>
      <c r="Q74" s="69" t="str">
        <f>IF(A3stdlife="n/a","n/a",IF(Q$3&gt;(A3stdlife+$F74),(Input!$J$145*(1+vanilla3)^0.5)-SUM($J74:P74),(Input!$J$145*(1+vanilla3)^0.5)/A3stdlife))</f>
        <v>n/a</v>
      </c>
      <c r="R74" s="69"/>
      <c r="S74" s="104"/>
      <c r="T74" s="104"/>
      <c r="U74" s="104"/>
      <c r="V74" s="104"/>
      <c r="W74" s="104"/>
      <c r="X74" s="104"/>
      <c r="Y74" s="104"/>
      <c r="Z74" s="104"/>
      <c r="AA74" s="104"/>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537"/>
      <c r="F75" s="87">
        <v>4</v>
      </c>
      <c r="G75" s="124"/>
      <c r="H75" s="149"/>
      <c r="I75" s="151"/>
      <c r="J75" s="151"/>
      <c r="K75" s="150"/>
      <c r="L75" s="69" t="str">
        <f>IF(A3stdlife="n/a","n/a",IF(L$3&gt;(A3stdlife+$F75),(Input!$K$145*(1+vanilla4)^0.5)-SUM($K75:K75),(Input!$K$145*(1+vanilla4)^0.5)/A3stdlife))</f>
        <v>n/a</v>
      </c>
      <c r="M75" s="69" t="str">
        <f>IF(A3stdlife="n/a","n/a",IF(M$3&gt;(A3stdlife+$F75),(Input!$K$145*(1+vanilla4)^0.5)-SUM($K75:L75),(Input!$K$145*(1+vanilla4)^0.5)/A3stdlife))</f>
        <v>n/a</v>
      </c>
      <c r="N75" s="69" t="str">
        <f>IF(A3stdlife="n/a","n/a",IF(N$3&gt;(A3stdlife+$F75),(Input!$K$145*(1+vanilla4)^0.5)-SUM($K75:M75),(Input!$K$145*(1+vanilla4)^0.5)/A3stdlife))</f>
        <v>n/a</v>
      </c>
      <c r="O75" s="69" t="str">
        <f>IF(A3stdlife="n/a","n/a",IF(O$3&gt;(A3stdlife+$F75),(Input!$K$145*(1+vanilla4)^0.5)-SUM($K75:N75),(Input!$K$145*(1+vanilla4)^0.5)/A3stdlife))</f>
        <v>n/a</v>
      </c>
      <c r="P75" s="69" t="str">
        <f>IF(A3stdlife="n/a","n/a",IF(P$3&gt;(A3stdlife+$F75),(Input!$K$145*(1+vanilla4)^0.5)-SUM($K75:O75),(Input!$K$145*(1+vanilla4)^0.5)/A3stdlife))</f>
        <v>n/a</v>
      </c>
      <c r="Q75" s="69" t="str">
        <f>IF(A3stdlife="n/a","n/a",IF(Q$3&gt;(A3stdlife+$F75),(Input!$K$145*(1+vanilla4)^0.5)-SUM($K75:P75),(Input!$K$145*(1+vanilla4)^0.5)/A3stdlife))</f>
        <v>n/a</v>
      </c>
      <c r="R75" s="69"/>
      <c r="S75" s="104"/>
      <c r="T75" s="104"/>
      <c r="U75" s="104"/>
      <c r="V75" s="104"/>
      <c r="W75" s="104"/>
      <c r="X75" s="104"/>
      <c r="Y75" s="104"/>
      <c r="Z75" s="104"/>
      <c r="AA75" s="104"/>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537"/>
      <c r="F76" s="87">
        <v>5</v>
      </c>
      <c r="G76" s="124"/>
      <c r="H76" s="149"/>
      <c r="I76" s="151"/>
      <c r="J76" s="151"/>
      <c r="K76" s="151"/>
      <c r="L76" s="150"/>
      <c r="M76" s="69" t="str">
        <f>IF(A3stdlife="n/a","n/a",IF(M$3&gt;(A3stdlife+$F76),(Input!$L$145*(1+vanilla5)^0.5)-SUM($L76:L76),(Input!$L$145*(1+vanilla5)^0.5)/A3stdlife))</f>
        <v>n/a</v>
      </c>
      <c r="N76" s="69" t="str">
        <f>IF(A3stdlife="n/a","n/a",IF(N$3&gt;(A3stdlife+$F76),(Input!$L$145*(1+vanilla5)^0.5)-SUM($L76:M76),(Input!$L$145*(1+vanilla5)^0.5)/A3stdlife))</f>
        <v>n/a</v>
      </c>
      <c r="O76" s="69" t="str">
        <f>IF(A3stdlife="n/a","n/a",IF(O$3&gt;(A3stdlife+$F76),(Input!$L$145*(1+vanilla5)^0.5)-SUM($L76:N76),(Input!$L$145*(1+vanilla5)^0.5)/A3stdlife))</f>
        <v>n/a</v>
      </c>
      <c r="P76" s="69" t="str">
        <f>IF(A3stdlife="n/a","n/a",IF(P$3&gt;(A3stdlife+$F76),(Input!$L$145*(1+vanilla5)^0.5)-SUM($L76:O76),(Input!$L$145*(1+vanilla5)^0.5)/A3stdlife))</f>
        <v>n/a</v>
      </c>
      <c r="Q76" s="69" t="str">
        <f>IF(A3stdlife="n/a","n/a",IF(Q$3&gt;(A3stdlife+$F76),(Input!$L$145*(1+vanilla5)^0.5)-SUM($L76:P76),(Input!$L$145*(1+vanilla5)^0.5)/A3stdlife))</f>
        <v>n/a</v>
      </c>
      <c r="R76" s="69"/>
      <c r="S76" s="104"/>
      <c r="T76" s="104"/>
      <c r="U76" s="104"/>
      <c r="V76" s="104"/>
      <c r="W76" s="104"/>
      <c r="X76" s="104"/>
      <c r="Y76" s="104"/>
      <c r="Z76" s="104"/>
      <c r="AA76" s="104"/>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537"/>
      <c r="F77" s="87">
        <v>6</v>
      </c>
      <c r="G77" s="124"/>
      <c r="H77" s="149"/>
      <c r="I77" s="151"/>
      <c r="J77" s="151"/>
      <c r="K77" s="151"/>
      <c r="L77" s="151"/>
      <c r="M77" s="150"/>
      <c r="N77" s="69" t="str">
        <f>IF(A3stdlife="n/a","n/a",IF(N$3&gt;(A3stdlife+$F77),(Input!$M$145*(1+vanilla6)^0.5)-SUM($M77:M77),(Input!$M$145*(1+vanilla6)^0.5)/A3stdlife))</f>
        <v>n/a</v>
      </c>
      <c r="O77" s="69" t="str">
        <f>IF(A3stdlife="n/a","n/a",IF(O$3&gt;(A3stdlife+$F77),(Input!$M$145*(1+vanilla6)^0.5)-SUM($M77:N77),(Input!$M$145*(1+vanilla6)^0.5)/A3stdlife))</f>
        <v>n/a</v>
      </c>
      <c r="P77" s="69" t="str">
        <f>IF(A3stdlife="n/a","n/a",IF(P$3&gt;(A3stdlife+$F77),(Input!$M$145*(1+vanilla6)^0.5)-SUM($M77:O77),(Input!$M$145*(1+vanilla6)^0.5)/A3stdlife))</f>
        <v>n/a</v>
      </c>
      <c r="Q77" s="69" t="str">
        <f>IF(A3stdlife="n/a","n/a",IF(Q$3&gt;(A3stdlife+$F77),(Input!$M$145*(1+vanilla6)^0.5)-SUM($M77:P77),(Input!$M$145*(1+vanilla6)^0.5)/A3stdlife))</f>
        <v>n/a</v>
      </c>
      <c r="R77" s="69"/>
      <c r="S77" s="104"/>
      <c r="T77" s="104"/>
      <c r="U77" s="104"/>
      <c r="V77" s="104"/>
      <c r="W77" s="104"/>
      <c r="X77" s="104"/>
      <c r="Y77" s="104"/>
      <c r="Z77" s="104"/>
      <c r="AA77" s="104"/>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537"/>
      <c r="F78" s="87">
        <v>7</v>
      </c>
      <c r="G78" s="124"/>
      <c r="H78" s="149"/>
      <c r="I78" s="151"/>
      <c r="J78" s="151"/>
      <c r="K78" s="151"/>
      <c r="L78" s="151"/>
      <c r="M78" s="151"/>
      <c r="N78" s="150"/>
      <c r="O78" s="69" t="str">
        <f>IF(A3stdlife="n/a","n/a",IF(O$3&gt;(A3stdlife+$F78),(Input!$N$145*(1+vanilla7)^0.5)-SUM($N78:N78),(Input!$N$145*(1+vanilla7)^0.5)/A3stdlife))</f>
        <v>n/a</v>
      </c>
      <c r="P78" s="69" t="str">
        <f>IF(A3stdlife="n/a","n/a",IF(P$3&gt;(A3stdlife+$F78),(Input!$N$145*(1+vanilla7)^0.5)-SUM($N78:O78),(Input!$N$145*(1+vanilla7)^0.5)/A3stdlife))</f>
        <v>n/a</v>
      </c>
      <c r="Q78" s="69" t="str">
        <f>IF(A3stdlife="n/a","n/a",IF(Q$3&gt;(A3stdlife+$F78),(Input!$N$145*(1+vanilla7)^0.5)-SUM($N78:P78),(Input!$N$145*(1+vanilla7)^0.5)/A3stdlife))</f>
        <v>n/a</v>
      </c>
      <c r="R78" s="69"/>
      <c r="S78" s="104"/>
      <c r="T78" s="104"/>
      <c r="U78" s="104"/>
      <c r="V78" s="104"/>
      <c r="W78" s="104"/>
      <c r="X78" s="104"/>
      <c r="Y78" s="104"/>
      <c r="Z78" s="104"/>
      <c r="AA78" s="104"/>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537"/>
      <c r="F79" s="87">
        <v>8</v>
      </c>
      <c r="G79" s="124"/>
      <c r="H79" s="149"/>
      <c r="I79" s="151"/>
      <c r="J79" s="151"/>
      <c r="K79" s="151"/>
      <c r="L79" s="151"/>
      <c r="M79" s="151"/>
      <c r="N79" s="151"/>
      <c r="O79" s="150"/>
      <c r="P79" s="69" t="str">
        <f>IF(A3stdlife="n/a","n/a",IF(P$3&gt;(A3stdlife+$F79),(Input!$O$145*(1+vanilla8)^0.5)-SUM($O79:O79),(Input!$O$145*(1+vanilla8)^0.5)/A3stdlife))</f>
        <v>n/a</v>
      </c>
      <c r="Q79" s="69" t="str">
        <f>IF(A3stdlife="n/a","n/a",IF(Q$3&gt;(A3stdlife+$F79),(Input!$O$145*(1+vanilla8)^0.5)-SUM($O79:P79),(Input!$O$145*(1+vanilla8)^0.5)/A3stdlife))</f>
        <v>n/a</v>
      </c>
      <c r="R79" s="69"/>
      <c r="S79" s="104"/>
      <c r="T79" s="104"/>
      <c r="U79" s="104"/>
      <c r="V79" s="104"/>
      <c r="W79" s="104"/>
      <c r="X79" s="104"/>
      <c r="Y79" s="104"/>
      <c r="Z79" s="104"/>
      <c r="AA79" s="104"/>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537"/>
      <c r="F80" s="87">
        <v>9</v>
      </c>
      <c r="G80" s="124"/>
      <c r="H80" s="149"/>
      <c r="I80" s="151"/>
      <c r="J80" s="151"/>
      <c r="K80" s="151"/>
      <c r="L80" s="151"/>
      <c r="M80" s="151"/>
      <c r="N80" s="151"/>
      <c r="O80" s="151"/>
      <c r="P80" s="150"/>
      <c r="Q80" s="69" t="str">
        <f>IF(A3stdlife="n/a","n/a",IF(Q$3&gt;(A3stdlife+$F80),(Input!$P$145*(1+vanilla9)^0.5)-SUM($P80:P80),(Input!$P$145*(1+vanilla9)^0.5)/A3stdlife))</f>
        <v>n/a</v>
      </c>
      <c r="R80" s="69"/>
      <c r="S80" s="104"/>
      <c r="T80" s="104"/>
      <c r="U80" s="104"/>
      <c r="V80" s="104"/>
      <c r="W80" s="104"/>
      <c r="X80" s="104"/>
      <c r="Y80" s="104"/>
      <c r="Z80" s="104"/>
      <c r="AA80" s="104"/>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537"/>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Standard metering</v>
      </c>
      <c r="E82" s="9"/>
      <c r="F82" s="9"/>
      <c r="G82" s="124"/>
      <c r="H82" s="168">
        <f>-SUM(H70:H81)</f>
        <v>-5.6905333649627119</v>
      </c>
      <c r="I82" s="168">
        <f>-SUM(I70:I81)</f>
        <v>-5.6905333649627119</v>
      </c>
      <c r="J82" s="168">
        <f>-SUM(J70:J81)</f>
        <v>-5.6905333649627119</v>
      </c>
      <c r="K82" s="168">
        <f>-SUM(K70:K81)</f>
        <v>-5.6905333649627119</v>
      </c>
      <c r="L82" s="168">
        <f>-SUM(L70:L81)</f>
        <v>-5.6905333649627119</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4"/>
      <c r="E83" s="34" t="s">
        <v>28</v>
      </c>
      <c r="F83" s="33"/>
      <c r="G83" s="178"/>
      <c r="H83" s="68">
        <f>IF(H$3&gt;A4remlife,A4value-SUM($G83:G83),IF(A4remlife="N/A","n/a",A4value/A4remlife))</f>
        <v>0.76468857708109517</v>
      </c>
      <c r="I83" s="68">
        <f>IF(I$3&gt;A4remlife,A4value-SUM($G83:H83),IF(A4remlife="N/A","n/a",A4value/A4remlife))</f>
        <v>0.76468857708109517</v>
      </c>
      <c r="J83" s="68">
        <f>IF(J$3&gt;A4remlife,A4value-SUM($G83:I83),IF(A4remlife="N/A","n/a",A4value/A4remlife))</f>
        <v>0.76468857708109517</v>
      </c>
      <c r="K83" s="68">
        <f>IF(K$3&gt;A4remlife,A4value-SUM($G83:J83),IF(A4remlife="N/A","n/a",A4value/A4remlife))</f>
        <v>0.76468857708109517</v>
      </c>
      <c r="L83" s="68">
        <f>IF(L$3&gt;A4remlife,A4value-SUM($G83:K83),IF(A4remlife="N/A","n/a",A4value/A4remlife))</f>
        <v>0.76468857708109517</v>
      </c>
      <c r="M83" s="68">
        <f>IF(M$3&gt;A4remlife,A4value-SUM($G83:L83),IF(A4remlife="N/A","n/a",A4value/A4remlife))</f>
        <v>0.76468857708109517</v>
      </c>
      <c r="N83" s="68">
        <f>IF(N$3&gt;A4remlife,A4value-SUM($G83:M83),IF(A4remlife="N/A","n/a",A4value/A4remlife))</f>
        <v>0.76468857708109517</v>
      </c>
      <c r="O83" s="68">
        <f>IF(O$3&gt;A4remlife,A4value-SUM($G83:N83),IF(A4remlife="N/A","n/a",A4value/A4remlife))</f>
        <v>0.76468857708109517</v>
      </c>
      <c r="P83" s="68">
        <f>IF(P$3&gt;A4remlife,A4value-SUM($G83:O83),IF(A4remlife="N/A","n/a",A4value/A4remlife))</f>
        <v>0.76468857708109517</v>
      </c>
      <c r="Q83" s="68">
        <f>IF(Q$3&gt;A4remlife,A4value-SUM($G83:P83),IF(A4remlife="N/A","n/a",A4value/A4remlife))</f>
        <v>0.76468857708109517</v>
      </c>
      <c r="R83" s="68"/>
      <c r="S83" s="104"/>
      <c r="T83" s="104"/>
      <c r="U83" s="104"/>
      <c r="V83" s="104"/>
      <c r="W83" s="104"/>
      <c r="X83" s="104"/>
      <c r="Y83" s="104"/>
      <c r="Z83" s="104"/>
      <c r="AA83" s="104"/>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536" t="s">
        <v>86</v>
      </c>
      <c r="F84" s="87">
        <v>0</v>
      </c>
      <c r="G84" s="124"/>
      <c r="H84" s="69"/>
      <c r="I84" s="69"/>
      <c r="J84" s="69"/>
      <c r="K84" s="69"/>
      <c r="L84" s="69"/>
      <c r="M84" s="166"/>
      <c r="N84" s="113"/>
      <c r="O84" s="69"/>
      <c r="P84" s="69"/>
      <c r="Q84" s="69"/>
      <c r="R84" s="69"/>
      <c r="S84" s="104"/>
      <c r="T84" s="104"/>
      <c r="U84" s="104"/>
      <c r="V84" s="104"/>
      <c r="W84" s="104"/>
      <c r="X84" s="104"/>
      <c r="Y84" s="104"/>
      <c r="Z84" s="104"/>
      <c r="AA84" s="104"/>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537"/>
      <c r="F85" s="87">
        <v>1</v>
      </c>
      <c r="G85" s="124"/>
      <c r="H85" s="148"/>
      <c r="I85" s="69" t="str">
        <f>IF(A4stdlife="n/a","n/a",IF(I$3&gt;(A4stdlife+$F85),(Input!$H$146*(1+vanilla1)^0.5)-SUM($H85:H85),(Input!$H$146*(1+vanilla1)^0.5)/A4stdlife))</f>
        <v>n/a</v>
      </c>
      <c r="J85" s="69" t="str">
        <f>IF(A4stdlife="n/a","n/a",IF(J$3&gt;(A4stdlife+$F85),(Input!$H$146*(1+vanilla1)^0.5)-SUM($H85:I85),(Input!$H$146*(1+vanilla1)^0.5)/A4stdlife))</f>
        <v>n/a</v>
      </c>
      <c r="K85" s="69" t="str">
        <f>IF(A4stdlife="n/a","n/a",IF(K$3&gt;(A4stdlife+$F85),(Input!$H$146*(1+vanilla1)^0.5)-SUM($H85:J85),(Input!$H$146*(1+vanilla1)^0.5)/A4stdlife))</f>
        <v>n/a</v>
      </c>
      <c r="L85" s="69" t="str">
        <f>IF(A4stdlife="n/a","n/a",IF(L$3&gt;(A4stdlife+$F85),(Input!$H$146*(1+vanilla1)^0.5)-SUM($H85:K85),(Input!$H$146*(1+vanilla1)^0.5)/A4stdlife))</f>
        <v>n/a</v>
      </c>
      <c r="M85" s="69" t="str">
        <f>IF(A4stdlife="n/a","n/a",IF(M$3&gt;(A4stdlife+$F85),(Input!$H$146*(1+vanilla1)^0.5)-SUM($H85:L85),(Input!$H$146*(1+vanilla1)^0.5)/A4stdlife))</f>
        <v>n/a</v>
      </c>
      <c r="N85" s="69" t="str">
        <f>IF(A4stdlife="n/a","n/a",IF(N$3&gt;(A4stdlife+$F85),(Input!$H$146*(1+vanilla1)^0.5)-SUM($H85:M85),(Input!$H$146*(1+vanilla1)^0.5)/A4stdlife))</f>
        <v>n/a</v>
      </c>
      <c r="O85" s="69" t="str">
        <f>IF(A4stdlife="n/a","n/a",IF(O$3&gt;(A4stdlife+$F85),(Input!$H$146*(1+vanilla1)^0.5)-SUM($H85:N85),(Input!$H$146*(1+vanilla1)^0.5)/A4stdlife))</f>
        <v>n/a</v>
      </c>
      <c r="P85" s="69" t="str">
        <f>IF(A4stdlife="n/a","n/a",IF(P$3&gt;(A4stdlife+$F85),(Input!$H$146*(1+vanilla1)^0.5)-SUM($H85:O85),(Input!$H$146*(1+vanilla1)^0.5)/A4stdlife))</f>
        <v>n/a</v>
      </c>
      <c r="Q85" s="69" t="str">
        <f>IF(A4stdlife="n/a","n/a",IF(Q$3&gt;(A4stdlife+$F85),(Input!$H$146*(1+vanilla1)^0.5)-SUM($H85:P85),(Input!$H$146*(1+vanilla1)^0.5)/A4stdlife))</f>
        <v>n/a</v>
      </c>
      <c r="R85" s="69"/>
      <c r="S85" s="104"/>
      <c r="T85" s="104"/>
      <c r="U85" s="104"/>
      <c r="V85" s="104"/>
      <c r="W85" s="104"/>
      <c r="X85" s="104"/>
      <c r="Y85" s="104"/>
      <c r="Z85" s="104"/>
      <c r="AA85" s="104"/>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537"/>
      <c r="F86" s="87">
        <v>2</v>
      </c>
      <c r="G86" s="124"/>
      <c r="H86" s="149"/>
      <c r="I86" s="150"/>
      <c r="J86" s="69" t="str">
        <f>IF(A4stdlife="n/a","n/a",IF(J$3&gt;(A4stdlife+$F86),(Input!$I$146*(1+vanilla2)^0.5)-SUM($I86:I86),(Input!$I$146*(1+vanilla2)^0.5)/A4stdlife))</f>
        <v>n/a</v>
      </c>
      <c r="K86" s="69" t="str">
        <f>IF(A4stdlife="n/a","n/a",IF(K$3&gt;(A4stdlife+$F86),(Input!$I$146*(1+vanilla2)^0.5)-SUM($I86:J86),(Input!$I$146*(1+vanilla2)^0.5)/A4stdlife))</f>
        <v>n/a</v>
      </c>
      <c r="L86" s="69" t="str">
        <f>IF(A4stdlife="n/a","n/a",IF(L$3&gt;(A4stdlife+$F86),(Input!$I$146*(1+vanilla2)^0.5)-SUM($I86:K86),(Input!$I$146*(1+vanilla2)^0.5)/A4stdlife))</f>
        <v>n/a</v>
      </c>
      <c r="M86" s="69" t="str">
        <f>IF(A4stdlife="n/a","n/a",IF(M$3&gt;(A4stdlife+$F86),(Input!$I$146*(1+vanilla2)^0.5)-SUM($I86:L86),(Input!$I$146*(1+vanilla2)^0.5)/A4stdlife))</f>
        <v>n/a</v>
      </c>
      <c r="N86" s="69" t="str">
        <f>IF(A4stdlife="n/a","n/a",IF(N$3&gt;(A4stdlife+$F86),(Input!$I$146*(1+vanilla2)^0.5)-SUM($I86:M86),(Input!$I$146*(1+vanilla2)^0.5)/A4stdlife))</f>
        <v>n/a</v>
      </c>
      <c r="O86" s="69" t="str">
        <f>IF(A4stdlife="n/a","n/a",IF(O$3&gt;(A4stdlife+$F86),(Input!$I$146*(1+vanilla2)^0.5)-SUM($I86:N86),(Input!$I$146*(1+vanilla2)^0.5)/A4stdlife))</f>
        <v>n/a</v>
      </c>
      <c r="P86" s="69" t="str">
        <f>IF(A4stdlife="n/a","n/a",IF(P$3&gt;(A4stdlife+$F86),(Input!$I$146*(1+vanilla2)^0.5)-SUM($I86:O86),(Input!$I$146*(1+vanilla2)^0.5)/A4stdlife))</f>
        <v>n/a</v>
      </c>
      <c r="Q86" s="69" t="str">
        <f>IF(A4stdlife="n/a","n/a",IF(Q$3&gt;(A4stdlife+$F86),(Input!$I$146*(1+vanilla2)^0.5)-SUM($I86:P86),(Input!$I$146*(1+vanilla2)^0.5)/A4stdlife))</f>
        <v>n/a</v>
      </c>
      <c r="R86" s="69"/>
      <c r="S86" s="104"/>
      <c r="T86" s="104"/>
      <c r="U86" s="104"/>
      <c r="V86" s="104"/>
      <c r="W86" s="104"/>
      <c r="X86" s="104"/>
      <c r="Y86" s="104"/>
      <c r="Z86" s="104"/>
      <c r="AA86" s="104"/>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537"/>
      <c r="F87" s="87">
        <v>3</v>
      </c>
      <c r="G87" s="124"/>
      <c r="H87" s="149"/>
      <c r="I87" s="151"/>
      <c r="J87" s="150"/>
      <c r="K87" s="69" t="str">
        <f>IF(A4stdlife="n/a","n/a",IF(K$3&gt;(A4stdlife+$F87),(Input!$J$146*(1+vanilla3)^0.5)-SUM($J87:J87),(Input!$J$146*(1+vanilla3)^0.5)/A4stdlife))</f>
        <v>n/a</v>
      </c>
      <c r="L87" s="69" t="str">
        <f>IF(A4stdlife="n/a","n/a",IF(L$3&gt;(A4stdlife+$F87),(Input!$J$146*(1+vanilla3)^0.5)-SUM($J87:K87),(Input!$J$146*(1+vanilla3)^0.5)/A4stdlife))</f>
        <v>n/a</v>
      </c>
      <c r="M87" s="69" t="str">
        <f>IF(A4stdlife="n/a","n/a",IF(M$3&gt;(A4stdlife+$F87),(Input!$J$146*(1+vanilla3)^0.5)-SUM($J87:L87),(Input!$J$146*(1+vanilla3)^0.5)/A4stdlife))</f>
        <v>n/a</v>
      </c>
      <c r="N87" s="69" t="str">
        <f>IF(A4stdlife="n/a","n/a",IF(N$3&gt;(A4stdlife+$F87),(Input!$J$146*(1+vanilla3)^0.5)-SUM($J87:M87),(Input!$J$146*(1+vanilla3)^0.5)/A4stdlife))</f>
        <v>n/a</v>
      </c>
      <c r="O87" s="69" t="str">
        <f>IF(A4stdlife="n/a","n/a",IF(O$3&gt;(A4stdlife+$F87),(Input!$J$146*(1+vanilla3)^0.5)-SUM($J87:N87),(Input!$J$146*(1+vanilla3)^0.5)/A4stdlife))</f>
        <v>n/a</v>
      </c>
      <c r="P87" s="69" t="str">
        <f>IF(A4stdlife="n/a","n/a",IF(P$3&gt;(A4stdlife+$F87),(Input!$J$146*(1+vanilla3)^0.5)-SUM($J87:O87),(Input!$J$146*(1+vanilla3)^0.5)/A4stdlife))</f>
        <v>n/a</v>
      </c>
      <c r="Q87" s="69" t="str">
        <f>IF(A4stdlife="n/a","n/a",IF(Q$3&gt;(A4stdlife+$F87),(Input!$J$146*(1+vanilla3)^0.5)-SUM($J87:P87),(Input!$J$146*(1+vanilla3)^0.5)/A4stdlife))</f>
        <v>n/a</v>
      </c>
      <c r="R87" s="69"/>
      <c r="S87" s="104"/>
      <c r="T87" s="104"/>
      <c r="U87" s="104"/>
      <c r="V87" s="104"/>
      <c r="W87" s="104"/>
      <c r="X87" s="104"/>
      <c r="Y87" s="104"/>
      <c r="Z87" s="104"/>
      <c r="AA87" s="104"/>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537"/>
      <c r="F88" s="87">
        <v>4</v>
      </c>
      <c r="G88" s="124"/>
      <c r="H88" s="149"/>
      <c r="I88" s="151"/>
      <c r="J88" s="151"/>
      <c r="K88" s="150"/>
      <c r="L88" s="69" t="str">
        <f>IF(A4stdlife="n/a","n/a",IF(L$3&gt;(A4stdlife+$F88),(Input!$K$146*(1+vanilla4)^0.5)-SUM($K88:K88),(Input!$K$146*(1+vanilla4)^0.5)/A4stdlife))</f>
        <v>n/a</v>
      </c>
      <c r="M88" s="69" t="str">
        <f>IF(A4stdlife="n/a","n/a",IF(M$3&gt;(A4stdlife+$F88),(Input!$K$146*(1+vanilla4)^0.5)-SUM($K88:L88),(Input!$K$146*(1+vanilla4)^0.5)/A4stdlife))</f>
        <v>n/a</v>
      </c>
      <c r="N88" s="69" t="str">
        <f>IF(A4stdlife="n/a","n/a",IF(N$3&gt;(A4stdlife+$F88),(Input!$K$146*(1+vanilla4)^0.5)-SUM($K88:M88),(Input!$K$146*(1+vanilla4)^0.5)/A4stdlife))</f>
        <v>n/a</v>
      </c>
      <c r="O88" s="69" t="str">
        <f>IF(A4stdlife="n/a","n/a",IF(O$3&gt;(A4stdlife+$F88),(Input!$K$146*(1+vanilla4)^0.5)-SUM($K88:N88),(Input!$K$146*(1+vanilla4)^0.5)/A4stdlife))</f>
        <v>n/a</v>
      </c>
      <c r="P88" s="69" t="str">
        <f>IF(A4stdlife="n/a","n/a",IF(P$3&gt;(A4stdlife+$F88),(Input!$K$146*(1+vanilla4)^0.5)-SUM($K88:O88),(Input!$K$146*(1+vanilla4)^0.5)/A4stdlife))</f>
        <v>n/a</v>
      </c>
      <c r="Q88" s="69" t="str">
        <f>IF(A4stdlife="n/a","n/a",IF(Q$3&gt;(A4stdlife+$F88),(Input!$K$146*(1+vanilla4)^0.5)-SUM($K88:P88),(Input!$K$146*(1+vanilla4)^0.5)/A4stdlife))</f>
        <v>n/a</v>
      </c>
      <c r="R88" s="69"/>
      <c r="S88" s="104"/>
      <c r="T88" s="104"/>
      <c r="U88" s="104"/>
      <c r="V88" s="104"/>
      <c r="W88" s="104"/>
      <c r="X88" s="104"/>
      <c r="Y88" s="104"/>
      <c r="Z88" s="104"/>
      <c r="AA88" s="104"/>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537"/>
      <c r="F89" s="87">
        <v>5</v>
      </c>
      <c r="G89" s="124"/>
      <c r="H89" s="149"/>
      <c r="I89" s="151"/>
      <c r="J89" s="151"/>
      <c r="K89" s="151"/>
      <c r="L89" s="150"/>
      <c r="M89" s="69" t="str">
        <f>IF(A4stdlife="n/a","n/a",IF(M$3&gt;(A4stdlife+$F89),(Input!$L$146*(1+vanilla5)^0.5)-SUM($L89:L89),(Input!$L$146*(1+vanilla5)^0.5)/A4stdlife))</f>
        <v>n/a</v>
      </c>
      <c r="N89" s="69" t="str">
        <f>IF(A4stdlife="n/a","n/a",IF(N$3&gt;(A4stdlife+$F89),(Input!$L$146*(1+vanilla5)^0.5)-SUM($L89:M89),(Input!$L$146*(1+vanilla5)^0.5)/A4stdlife))</f>
        <v>n/a</v>
      </c>
      <c r="O89" s="69" t="str">
        <f>IF(A4stdlife="n/a","n/a",IF(O$3&gt;(A4stdlife+$F89),(Input!$L$146*(1+vanilla5)^0.5)-SUM($L89:N89),(Input!$L$146*(1+vanilla5)^0.5)/A4stdlife))</f>
        <v>n/a</v>
      </c>
      <c r="P89" s="69" t="str">
        <f>IF(A4stdlife="n/a","n/a",IF(P$3&gt;(A4stdlife+$F89),(Input!$L$146*(1+vanilla5)^0.5)-SUM($L89:O89),(Input!$L$146*(1+vanilla5)^0.5)/A4stdlife))</f>
        <v>n/a</v>
      </c>
      <c r="Q89" s="69" t="str">
        <f>IF(A4stdlife="n/a","n/a",IF(Q$3&gt;(A4stdlife+$F89),(Input!$L$146*(1+vanilla5)^0.5)-SUM($L89:P89),(Input!$L$146*(1+vanilla5)^0.5)/A4stdlife))</f>
        <v>n/a</v>
      </c>
      <c r="R89" s="69"/>
      <c r="S89" s="104"/>
      <c r="T89" s="104"/>
      <c r="U89" s="104"/>
      <c r="V89" s="104"/>
      <c r="W89" s="104"/>
      <c r="X89" s="104"/>
      <c r="Y89" s="104"/>
      <c r="Z89" s="104"/>
      <c r="AA89" s="104"/>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537"/>
      <c r="F90" s="87">
        <v>6</v>
      </c>
      <c r="G90" s="124"/>
      <c r="H90" s="149"/>
      <c r="I90" s="151"/>
      <c r="J90" s="151"/>
      <c r="K90" s="151"/>
      <c r="L90" s="151"/>
      <c r="M90" s="150"/>
      <c r="N90" s="69" t="str">
        <f>IF(A4stdlife="n/a","n/a",IF(N$3&gt;(A4stdlife+$F90),(Input!$M$146*(1+vanilla6)^0.5)-SUM($M90:M90),(Input!$M$146*(1+vanilla6)^0.5)/A4stdlife))</f>
        <v>n/a</v>
      </c>
      <c r="O90" s="69" t="str">
        <f>IF(A4stdlife="n/a","n/a",IF(O$3&gt;(A4stdlife+$F90),(Input!$M$146*(1+vanilla6)^0.5)-SUM($M90:N90),(Input!$M$146*(1+vanilla6)^0.5)/A4stdlife))</f>
        <v>n/a</v>
      </c>
      <c r="P90" s="69" t="str">
        <f>IF(A4stdlife="n/a","n/a",IF(P$3&gt;(A4stdlife+$F90),(Input!$M$146*(1+vanilla6)^0.5)-SUM($M90:O90),(Input!$M$146*(1+vanilla6)^0.5)/A4stdlife))</f>
        <v>n/a</v>
      </c>
      <c r="Q90" s="69" t="str">
        <f>IF(A4stdlife="n/a","n/a",IF(Q$3&gt;(A4stdlife+$F90),(Input!$M$146*(1+vanilla6)^0.5)-SUM($M90:P90),(Input!$M$146*(1+vanilla6)^0.5)/A4stdlife))</f>
        <v>n/a</v>
      </c>
      <c r="R90" s="69"/>
      <c r="S90" s="104"/>
      <c r="T90" s="104"/>
      <c r="U90" s="104"/>
      <c r="V90" s="104"/>
      <c r="W90" s="104"/>
      <c r="X90" s="104"/>
      <c r="Y90" s="104"/>
      <c r="Z90" s="104"/>
      <c r="AA90" s="104"/>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37"/>
      <c r="F91" s="87">
        <v>7</v>
      </c>
      <c r="G91" s="124"/>
      <c r="H91" s="149"/>
      <c r="I91" s="151"/>
      <c r="J91" s="151"/>
      <c r="K91" s="151"/>
      <c r="L91" s="151"/>
      <c r="M91" s="151"/>
      <c r="N91" s="150"/>
      <c r="O91" s="69" t="str">
        <f>IF(A4stdlife="n/a","n/a",IF(O$3&gt;(A4stdlife+$F91),(Input!$N$146*(1+vanilla7)^0.5)-SUM($N91:N91),(Input!$N$146*(1+vanilla7)^0.5)/A4stdlife))</f>
        <v>n/a</v>
      </c>
      <c r="P91" s="69" t="str">
        <f>IF(A4stdlife="n/a","n/a",IF(P$3&gt;(A4stdlife+$F91),(Input!$N$146*(1+vanilla7)^0.5)-SUM($N91:O91),(Input!$N$146*(1+vanilla7)^0.5)/A4stdlife))</f>
        <v>n/a</v>
      </c>
      <c r="Q91" s="69" t="str">
        <f>IF(A4stdlife="n/a","n/a",IF(Q$3&gt;(A4stdlife+$F91),(Input!$N$146*(1+vanilla7)^0.5)-SUM($N91:P91),(Input!$N$146*(1+vanilla7)^0.5)/A4stdlife))</f>
        <v>n/a</v>
      </c>
      <c r="R91" s="69"/>
      <c r="S91" s="104"/>
      <c r="T91" s="104"/>
      <c r="U91" s="104"/>
      <c r="V91" s="104"/>
      <c r="W91" s="104"/>
      <c r="X91" s="104"/>
      <c r="Y91" s="104"/>
      <c r="Z91" s="104"/>
      <c r="AA91" s="104"/>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37"/>
      <c r="F92" s="87">
        <v>8</v>
      </c>
      <c r="G92" s="124"/>
      <c r="H92" s="149"/>
      <c r="I92" s="151"/>
      <c r="J92" s="151"/>
      <c r="K92" s="151"/>
      <c r="L92" s="151"/>
      <c r="M92" s="151"/>
      <c r="N92" s="151"/>
      <c r="O92" s="150"/>
      <c r="P92" s="69" t="str">
        <f>IF(A4stdlife="n/a","n/a",IF(P$3&gt;(A4stdlife+$F92),(Input!$O$146*(1+vanilla8)^0.5)-SUM($O92:O92),(Input!$O$146*(1+vanilla8)^0.5)/A4stdlife))</f>
        <v>n/a</v>
      </c>
      <c r="Q92" s="69" t="str">
        <f>IF(A4stdlife="n/a","n/a",IF(Q$3&gt;(A4stdlife+$F92),(Input!$O$146*(1+vanilla8)^0.5)-SUM($O92:P92),(Input!$O$146*(1+vanilla8)^0.5)/A4stdlife))</f>
        <v>n/a</v>
      </c>
      <c r="R92" s="69"/>
      <c r="S92" s="104"/>
      <c r="T92" s="104"/>
      <c r="U92" s="104"/>
      <c r="V92" s="104"/>
      <c r="W92" s="104"/>
      <c r="X92" s="104"/>
      <c r="Y92" s="104"/>
      <c r="Z92" s="104"/>
      <c r="AA92" s="104"/>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37"/>
      <c r="F93" s="87">
        <v>9</v>
      </c>
      <c r="G93" s="124"/>
      <c r="H93" s="149"/>
      <c r="I93" s="151"/>
      <c r="J93" s="151"/>
      <c r="K93" s="151"/>
      <c r="L93" s="151"/>
      <c r="M93" s="151"/>
      <c r="N93" s="151"/>
      <c r="O93" s="151"/>
      <c r="P93" s="150"/>
      <c r="Q93" s="69" t="str">
        <f>IF(A4stdlife="n/a","n/a",IF(Q$3&gt;(A4stdlife+$F93),(Input!$P$146*(1+vanilla9)^0.5)-SUM($P93:P93),(Input!$P$146*(1+vanilla9)^0.5)/A4stdlife))</f>
        <v>n/a</v>
      </c>
      <c r="R93" s="69"/>
      <c r="S93" s="104"/>
      <c r="T93" s="104"/>
      <c r="U93" s="104"/>
      <c r="V93" s="104"/>
      <c r="W93" s="104"/>
      <c r="X93" s="104"/>
      <c r="Y93" s="104"/>
      <c r="Z93" s="104"/>
      <c r="AA93" s="104"/>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37"/>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Public lighting</v>
      </c>
      <c r="E95" s="9"/>
      <c r="F95" s="9"/>
      <c r="G95" s="124"/>
      <c r="H95" s="168">
        <f>-SUM(H83:H94)</f>
        <v>-0.76468857708109517</v>
      </c>
      <c r="I95" s="168">
        <f>-SUM(I83:I94)</f>
        <v>-0.76468857708109517</v>
      </c>
      <c r="J95" s="168">
        <f>-SUM(J83:J94)</f>
        <v>-0.76468857708109517</v>
      </c>
      <c r="K95" s="168">
        <f>-SUM(K83:K94)</f>
        <v>-0.76468857708109517</v>
      </c>
      <c r="L95" s="168">
        <f>-SUM(L83:L94)</f>
        <v>-0.76468857708109517</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4"/>
      <c r="E96" s="34" t="s">
        <v>28</v>
      </c>
      <c r="F96" s="33"/>
      <c r="G96" s="178"/>
      <c r="H96" s="68">
        <f>IF(H$3&gt;A5remlife,A5value-SUM($G96:G96),IF(A5remlife="N/A","n/a",A5value/A5remlife))</f>
        <v>2.0413555055339239</v>
      </c>
      <c r="I96" s="68">
        <f>IF(I$3&gt;A5remlife,A5value-SUM($G96:H96),IF(A5remlife="N/A","n/a",A5value/A5remlife))</f>
        <v>2.0413555055339239</v>
      </c>
      <c r="J96" s="68">
        <f>IF(J$3&gt;A5remlife,A5value-SUM($G96:I96),IF(A5remlife="N/A","n/a",A5value/A5remlife))</f>
        <v>2.0413555055339239</v>
      </c>
      <c r="K96" s="68">
        <f>IF(K$3&gt;A5remlife,A5value-SUM($G96:J96),IF(A5remlife="N/A","n/a",A5value/A5remlife))</f>
        <v>2.0413555055339239</v>
      </c>
      <c r="L96" s="68">
        <f>IF(L$3&gt;A5remlife,A5value-SUM($G96:K96),IF(A5remlife="N/A","n/a",A5value/A5remlife))</f>
        <v>2.0413555055339239</v>
      </c>
      <c r="M96" s="68">
        <f>IF(M$3&gt;A5remlife,A5value-SUM($G96:L96),IF(A5remlife="N/A","n/a",A5value/A5remlife))</f>
        <v>2.0413555055339239</v>
      </c>
      <c r="N96" s="68">
        <f>IF(N$3&gt;A5remlife,A5value-SUM($G96:M96),IF(A5remlife="N/A","n/a",A5value/A5remlife))</f>
        <v>2.0413555055339239</v>
      </c>
      <c r="O96" s="68">
        <f>IF(O$3&gt;A5remlife,A5value-SUM($G96:N96),IF(A5remlife="N/A","n/a",A5value/A5remlife))</f>
        <v>1.3414074022084002</v>
      </c>
      <c r="P96" s="68">
        <f>IF(P$3&gt;A5remlife,A5value-SUM($G96:O96),IF(A5remlife="N/A","n/a",A5value/A5remlife))</f>
        <v>0</v>
      </c>
      <c r="Q96" s="68">
        <f>IF(Q$3&gt;A5remlife,A5value-SUM($G96:P96),IF(A5remlife="N/A","n/a",A5value/A5remlife))</f>
        <v>0</v>
      </c>
      <c r="R96" s="68"/>
      <c r="S96" s="104"/>
      <c r="T96" s="104"/>
      <c r="U96" s="104"/>
      <c r="V96" s="104"/>
      <c r="W96" s="104"/>
      <c r="X96" s="104"/>
      <c r="Y96" s="104"/>
      <c r="Z96" s="104"/>
      <c r="AA96" s="104"/>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536" t="s">
        <v>86</v>
      </c>
      <c r="F97" s="87">
        <v>0</v>
      </c>
      <c r="G97" s="124"/>
      <c r="H97" s="69"/>
      <c r="I97" s="69"/>
      <c r="J97" s="69"/>
      <c r="K97" s="69"/>
      <c r="L97" s="69"/>
      <c r="M97" s="166"/>
      <c r="N97" s="113"/>
      <c r="O97" s="69"/>
      <c r="P97" s="69"/>
      <c r="Q97" s="69"/>
      <c r="R97" s="69"/>
      <c r="S97" s="104"/>
      <c r="T97" s="104"/>
      <c r="U97" s="104"/>
      <c r="V97" s="104"/>
      <c r="W97" s="104"/>
      <c r="X97" s="104"/>
      <c r="Y97" s="104"/>
      <c r="Z97" s="104"/>
      <c r="AA97" s="104"/>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37"/>
      <c r="F98" s="87">
        <v>1</v>
      </c>
      <c r="G98" s="124"/>
      <c r="H98" s="148"/>
      <c r="I98" s="69">
        <f>IF(A5stdlife="n/a","n/a",IF(I$3&gt;(A5stdlife+$F98),(Input!$H$147*(1+vanilla1)^0.5)-SUM($H98:H98),(Input!$H$147*(1+vanilla1)^0.5)/A5stdlife))</f>
        <v>7.0737170141589242E-2</v>
      </c>
      <c r="J98" s="69">
        <f>IF(A5stdlife="n/a","n/a",IF(J$3&gt;(A5stdlife+$F98),(Input!$H$147*(1+vanilla1)^0.5)-SUM($H98:I98),(Input!$H$147*(1+vanilla1)^0.5)/A5stdlife))</f>
        <v>7.0737170141589242E-2</v>
      </c>
      <c r="K98" s="69">
        <f>IF(A5stdlife="n/a","n/a",IF(K$3&gt;(A5stdlife+$F98),(Input!$H$147*(1+vanilla1)^0.5)-SUM($H98:J98),(Input!$H$147*(1+vanilla1)^0.5)/A5stdlife))</f>
        <v>7.0737170141589242E-2</v>
      </c>
      <c r="L98" s="69">
        <f>IF(A5stdlife="n/a","n/a",IF(L$3&gt;(A5stdlife+$F98),(Input!$H$147*(1+vanilla1)^0.5)-SUM($H98:K98),(Input!$H$147*(1+vanilla1)^0.5)/A5stdlife))</f>
        <v>7.0737170141589242E-2</v>
      </c>
      <c r="M98" s="69">
        <f>IF(A5stdlife="n/a","n/a",IF(M$3&gt;(A5stdlife+$F98),(Input!$H$147*(1+vanilla1)^0.5)-SUM($H98:L98),(Input!$H$147*(1+vanilla1)^0.5)/A5stdlife))</f>
        <v>7.0737170141589242E-2</v>
      </c>
      <c r="N98" s="69">
        <f>IF(A5stdlife="n/a","n/a",IF(N$3&gt;(A5stdlife+$F98),(Input!$H$147*(1+vanilla1)^0.5)-SUM($H98:M98),(Input!$H$147*(1+vanilla1)^0.5)/A5stdlife))</f>
        <v>7.0737170141589242E-2</v>
      </c>
      <c r="O98" s="69">
        <f>IF(A5stdlife="n/a","n/a",IF(O$3&gt;(A5stdlife+$F98),(Input!$H$147*(1+vanilla1)^0.5)-SUM($H98:N98),(Input!$H$147*(1+vanilla1)^0.5)/A5stdlife))</f>
        <v>7.0737170141589242E-2</v>
      </c>
      <c r="P98" s="69">
        <f>IF(A5stdlife="n/a","n/a",IF(P$3&gt;(A5stdlife+$F98),(Input!$H$147*(1+vanilla1)^0.5)-SUM($H98:O98),(Input!$H$147*(1+vanilla1)^0.5)/A5stdlife))</f>
        <v>7.0737170141589242E-2</v>
      </c>
      <c r="Q98" s="69">
        <f>IF(A5stdlife="n/a","n/a",IF(Q$3&gt;(A5stdlife+$F98),(Input!$H$147*(1+vanilla1)^0.5)-SUM($H98:P98),(Input!$H$147*(1+vanilla1)^0.5)/A5stdlife))</f>
        <v>7.0737170141589242E-2</v>
      </c>
      <c r="R98" s="69"/>
      <c r="S98" s="104"/>
      <c r="T98" s="104"/>
      <c r="U98" s="104"/>
      <c r="V98" s="104"/>
      <c r="W98" s="104"/>
      <c r="X98" s="104"/>
      <c r="Y98" s="104"/>
      <c r="Z98" s="104"/>
      <c r="AA98" s="104"/>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37"/>
      <c r="F99" s="87">
        <v>2</v>
      </c>
      <c r="G99" s="124"/>
      <c r="H99" s="149"/>
      <c r="I99" s="150"/>
      <c r="J99" s="69">
        <f>IF(A5stdlife="n/a","n/a",IF(J$3&gt;(A5stdlife+$F99),(Input!$I$147*(1+vanilla2)^0.5)-SUM($I99:I99),(Input!$I$147*(1+vanilla2)^0.5)/A5stdlife))</f>
        <v>0.25567314933170365</v>
      </c>
      <c r="K99" s="69">
        <f>IF(A5stdlife="n/a","n/a",IF(K$3&gt;(A5stdlife+$F99),(Input!$I$147*(1+vanilla2)^0.5)-SUM($I99:J99),(Input!$I$147*(1+vanilla2)^0.5)/A5stdlife))</f>
        <v>0.25567314933170365</v>
      </c>
      <c r="L99" s="69">
        <f>IF(A5stdlife="n/a","n/a",IF(L$3&gt;(A5stdlife+$F99),(Input!$I$147*(1+vanilla2)^0.5)-SUM($I99:K99),(Input!$I$147*(1+vanilla2)^0.5)/A5stdlife))</f>
        <v>0.25567314933170365</v>
      </c>
      <c r="M99" s="69">
        <f>IF(A5stdlife="n/a","n/a",IF(M$3&gt;(A5stdlife+$F99),(Input!$I$147*(1+vanilla2)^0.5)-SUM($I99:L99),(Input!$I$147*(1+vanilla2)^0.5)/A5stdlife))</f>
        <v>0.25567314933170365</v>
      </c>
      <c r="N99" s="69">
        <f>IF(A5stdlife="n/a","n/a",IF(N$3&gt;(A5stdlife+$F99),(Input!$I$147*(1+vanilla2)^0.5)-SUM($I99:M99),(Input!$I$147*(1+vanilla2)^0.5)/A5stdlife))</f>
        <v>0.25567314933170365</v>
      </c>
      <c r="O99" s="69">
        <f>IF(A5stdlife="n/a","n/a",IF(O$3&gt;(A5stdlife+$F99),(Input!$I$147*(1+vanilla2)^0.5)-SUM($I99:N99),(Input!$I$147*(1+vanilla2)^0.5)/A5stdlife))</f>
        <v>0.25567314933170365</v>
      </c>
      <c r="P99" s="69">
        <f>IF(A5stdlife="n/a","n/a",IF(P$3&gt;(A5stdlife+$F99),(Input!$I$147*(1+vanilla2)^0.5)-SUM($I99:O99),(Input!$I$147*(1+vanilla2)^0.5)/A5stdlife))</f>
        <v>0.25567314933170365</v>
      </c>
      <c r="Q99" s="69">
        <f>IF(A5stdlife="n/a","n/a",IF(Q$3&gt;(A5stdlife+$F99),(Input!$I$147*(1+vanilla2)^0.5)-SUM($I99:P99),(Input!$I$147*(1+vanilla2)^0.5)/A5stdlife))</f>
        <v>0.25567314933170365</v>
      </c>
      <c r="R99" s="69"/>
      <c r="S99" s="104"/>
      <c r="T99" s="104"/>
      <c r="U99" s="104"/>
      <c r="V99" s="104"/>
      <c r="W99" s="104"/>
      <c r="X99" s="104"/>
      <c r="Y99" s="104"/>
      <c r="Z99" s="104"/>
      <c r="AA99" s="104"/>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37"/>
      <c r="F100" s="87">
        <v>3</v>
      </c>
      <c r="G100" s="124"/>
      <c r="H100" s="149"/>
      <c r="I100" s="151"/>
      <c r="J100" s="150"/>
      <c r="K100" s="69">
        <f>IF(A5stdlife="n/a","n/a",IF(K$3&gt;(A5stdlife+$F100),(Input!$J$147*(1+vanilla3)^0.5)-SUM($J100:J100),(Input!$J$147*(1+vanilla3)^0.5)/A5stdlife))</f>
        <v>0.19654936231392986</v>
      </c>
      <c r="L100" s="69">
        <f>IF(A5stdlife="n/a","n/a",IF(L$3&gt;(A5stdlife+$F100),(Input!$J$147*(1+vanilla3)^0.5)-SUM($J100:K100),(Input!$J$147*(1+vanilla3)^0.5)/A5stdlife))</f>
        <v>0.19654936231392986</v>
      </c>
      <c r="M100" s="69">
        <f>IF(A5stdlife="n/a","n/a",IF(M$3&gt;(A5stdlife+$F100),(Input!$J$147*(1+vanilla3)^0.5)-SUM($J100:L100),(Input!$J$147*(1+vanilla3)^0.5)/A5stdlife))</f>
        <v>0.19654936231392986</v>
      </c>
      <c r="N100" s="69">
        <f>IF(A5stdlife="n/a","n/a",IF(N$3&gt;(A5stdlife+$F100),(Input!$J$147*(1+vanilla3)^0.5)-SUM($J100:M100),(Input!$J$147*(1+vanilla3)^0.5)/A5stdlife))</f>
        <v>0.19654936231392986</v>
      </c>
      <c r="O100" s="69">
        <f>IF(A5stdlife="n/a","n/a",IF(O$3&gt;(A5stdlife+$F100),(Input!$J$147*(1+vanilla3)^0.5)-SUM($J100:N100),(Input!$J$147*(1+vanilla3)^0.5)/A5stdlife))</f>
        <v>0.19654936231392986</v>
      </c>
      <c r="P100" s="69">
        <f>IF(A5stdlife="n/a","n/a",IF(P$3&gt;(A5stdlife+$F100),(Input!$J$147*(1+vanilla3)^0.5)-SUM($J100:O100),(Input!$J$147*(1+vanilla3)^0.5)/A5stdlife))</f>
        <v>0.19654936231392986</v>
      </c>
      <c r="Q100" s="69">
        <f>IF(A5stdlife="n/a","n/a",IF(Q$3&gt;(A5stdlife+$F100),(Input!$J$147*(1+vanilla3)^0.5)-SUM($J100:P100),(Input!$J$147*(1+vanilla3)^0.5)/A5stdlife))</f>
        <v>0.19654936231392986</v>
      </c>
      <c r="R100" s="69"/>
      <c r="S100" s="104"/>
      <c r="T100" s="104"/>
      <c r="U100" s="104"/>
      <c r="V100" s="104"/>
      <c r="W100" s="104"/>
      <c r="X100" s="104"/>
      <c r="Y100" s="104"/>
      <c r="Z100" s="104"/>
      <c r="AA100" s="104"/>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537"/>
      <c r="F101" s="87">
        <v>4</v>
      </c>
      <c r="G101" s="124"/>
      <c r="H101" s="149"/>
      <c r="I101" s="151"/>
      <c r="J101" s="151"/>
      <c r="K101" s="150"/>
      <c r="L101" s="69">
        <f>IF(A5stdlife="n/a","n/a",IF(L$3&gt;(A5stdlife+$F101),(Input!$K$147*(1+vanilla4)^0.5)-SUM($K101:K101),(Input!$K$147*(1+vanilla4)^0.5)/A5stdlife))</f>
        <v>0.19090766413220478</v>
      </c>
      <c r="M101" s="69">
        <f>IF(A5stdlife="n/a","n/a",IF(M$3&gt;(A5stdlife+$F101),(Input!$K$147*(1+vanilla4)^0.5)-SUM($K101:L101),(Input!$K$147*(1+vanilla4)^0.5)/A5stdlife))</f>
        <v>0.19090766413220478</v>
      </c>
      <c r="N101" s="69">
        <f>IF(A5stdlife="n/a","n/a",IF(N$3&gt;(A5stdlife+$F101),(Input!$K$147*(1+vanilla4)^0.5)-SUM($K101:M101),(Input!$K$147*(1+vanilla4)^0.5)/A5stdlife))</f>
        <v>0.19090766413220478</v>
      </c>
      <c r="O101" s="69">
        <f>IF(A5stdlife="n/a","n/a",IF(O$3&gt;(A5stdlife+$F101),(Input!$K$147*(1+vanilla4)^0.5)-SUM($K101:N101),(Input!$K$147*(1+vanilla4)^0.5)/A5stdlife))</f>
        <v>0.19090766413220478</v>
      </c>
      <c r="P101" s="69">
        <f>IF(A5stdlife="n/a","n/a",IF(P$3&gt;(A5stdlife+$F101),(Input!$K$147*(1+vanilla4)^0.5)-SUM($K101:O101),(Input!$K$147*(1+vanilla4)^0.5)/A5stdlife))</f>
        <v>0.19090766413220478</v>
      </c>
      <c r="Q101" s="69">
        <f>IF(A5stdlife="n/a","n/a",IF(Q$3&gt;(A5stdlife+$F101),(Input!$K$147*(1+vanilla4)^0.5)-SUM($K101:P101),(Input!$K$147*(1+vanilla4)^0.5)/A5stdlife))</f>
        <v>0.19090766413220478</v>
      </c>
      <c r="R101" s="69"/>
      <c r="S101" s="104"/>
      <c r="T101" s="104"/>
      <c r="U101" s="104"/>
      <c r="V101" s="104"/>
      <c r="W101" s="104"/>
      <c r="X101" s="104"/>
      <c r="Y101" s="104"/>
      <c r="Z101" s="104"/>
      <c r="AA101" s="104"/>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537"/>
      <c r="F102" s="87">
        <v>5</v>
      </c>
      <c r="G102" s="124"/>
      <c r="H102" s="149"/>
      <c r="I102" s="151"/>
      <c r="J102" s="151"/>
      <c r="K102" s="151"/>
      <c r="L102" s="150"/>
      <c r="M102" s="69">
        <f>IF(A5stdlife="n/a","n/a",IF(M$3&gt;(A5stdlife+$F102),(Input!$L$147*(1+vanilla5)^0.5)-SUM($L102:L102),(Input!$L$147*(1+vanilla5)^0.5)/A5stdlife))</f>
        <v>0.15175622944563716</v>
      </c>
      <c r="N102" s="69">
        <f>IF(A5stdlife="n/a","n/a",IF(N$3&gt;(A5stdlife+$F102),(Input!$L$147*(1+vanilla5)^0.5)-SUM($L102:M102),(Input!$L$147*(1+vanilla5)^0.5)/A5stdlife))</f>
        <v>0.15175622944563716</v>
      </c>
      <c r="O102" s="69">
        <f>IF(A5stdlife="n/a","n/a",IF(O$3&gt;(A5stdlife+$F102),(Input!$L$147*(1+vanilla5)^0.5)-SUM($L102:N102),(Input!$L$147*(1+vanilla5)^0.5)/A5stdlife))</f>
        <v>0.15175622944563716</v>
      </c>
      <c r="P102" s="69">
        <f>IF(A5stdlife="n/a","n/a",IF(P$3&gt;(A5stdlife+$F102),(Input!$L$147*(1+vanilla5)^0.5)-SUM($L102:O102),(Input!$L$147*(1+vanilla5)^0.5)/A5stdlife))</f>
        <v>0.15175622944563716</v>
      </c>
      <c r="Q102" s="69">
        <f>IF(A5stdlife="n/a","n/a",IF(Q$3&gt;(A5stdlife+$F102),(Input!$L$147*(1+vanilla5)^0.5)-SUM($L102:P102),(Input!$L$147*(1+vanilla5)^0.5)/A5stdlife))</f>
        <v>0.15175622944563716</v>
      </c>
      <c r="R102" s="69"/>
      <c r="S102" s="104"/>
      <c r="T102" s="104"/>
      <c r="U102" s="104"/>
      <c r="V102" s="104"/>
      <c r="W102" s="104"/>
      <c r="X102" s="104"/>
      <c r="Y102" s="104"/>
      <c r="Z102" s="104"/>
      <c r="AA102" s="104"/>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537"/>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537"/>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537"/>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537"/>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537"/>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SCADA/Network control</v>
      </c>
      <c r="E108" s="9"/>
      <c r="F108" s="9"/>
      <c r="G108" s="124"/>
      <c r="H108" s="168">
        <f>-SUM(H96:H107)</f>
        <v>-2.0413555055339239</v>
      </c>
      <c r="I108" s="168">
        <f>-SUM(I96:I107)</f>
        <v>-2.112092675675513</v>
      </c>
      <c r="J108" s="168">
        <f>-SUM(J96:J107)</f>
        <v>-2.3677658250072167</v>
      </c>
      <c r="K108" s="168">
        <f>-SUM(K96:K107)</f>
        <v>-2.5643151873211467</v>
      </c>
      <c r="L108" s="168">
        <f>-SUM(L96:L107)</f>
        <v>-2.7552228514533517</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Non-network general assets - IT</v>
      </c>
      <c r="D109" s="164"/>
      <c r="E109" s="34" t="s">
        <v>28</v>
      </c>
      <c r="F109" s="33"/>
      <c r="G109" s="178"/>
      <c r="H109" s="68">
        <f>IF(H$3&gt;A6remlife,A6value-SUM($G109:G109),IF(A6remlife="N/A","n/a",A6value/A6remlife))</f>
        <v>1.437845783560894E-2</v>
      </c>
      <c r="I109" s="68">
        <f>IF(I$3&gt;A6remlife,A6value-SUM($G109:H109),IF(A6remlife="N/A","n/a",A6value/A6remlife))</f>
        <v>1.437845783560894E-2</v>
      </c>
      <c r="J109" s="68">
        <f>IF(J$3&gt;A6remlife,A6value-SUM($G109:I109),IF(A6remlife="N/A","n/a",A6value/A6remlife))</f>
        <v>1.437845783560894E-2</v>
      </c>
      <c r="K109" s="68">
        <f>IF(K$3&gt;A6remlife,A6value-SUM($G109:J109),IF(A6remlife="N/A","n/a",A6value/A6remlife))</f>
        <v>1.437845783560894E-2</v>
      </c>
      <c r="L109" s="68">
        <f>IF(L$3&gt;A6remlife,A6value-SUM($G109:K109),IF(A6remlife="N/A","n/a",A6value/A6remlife))</f>
        <v>1.437845783560894E-2</v>
      </c>
      <c r="M109" s="68">
        <f>IF(M$3&gt;A6remlife,A6value-SUM($G109:L109),IF(A6remlife="N/A","n/a",A6value/A6remlife))</f>
        <v>2.5243179277709554E-3</v>
      </c>
      <c r="N109" s="68">
        <f>IF(N$3&gt;A6remlife,A6value-SUM($G109:M109),IF(A6remlife="N/A","n/a",A6value/A6remlife))</f>
        <v>0</v>
      </c>
      <c r="O109" s="68">
        <f>IF(O$3&gt;A6remlife,A6value-SUM($G109:N109),IF(A6remlife="N/A","n/a",A6value/A6remlife))</f>
        <v>0</v>
      </c>
      <c r="P109" s="68">
        <f>IF(P$3&gt;A6remlife,A6value-SUM($G109:O109),IF(A6remlife="N/A","n/a",A6value/A6remlife))</f>
        <v>0</v>
      </c>
      <c r="Q109" s="68">
        <f>IF(Q$3&gt;A6remlife,A6value-SUM($G109:P109),IF(A6remlife="N/A","n/a",A6value/A6remlife))</f>
        <v>0</v>
      </c>
      <c r="R109" s="68"/>
      <c r="S109" s="104"/>
      <c r="T109" s="104"/>
      <c r="U109" s="104"/>
      <c r="V109" s="104"/>
      <c r="W109" s="104"/>
      <c r="X109" s="104"/>
      <c r="Y109" s="104"/>
      <c r="Z109" s="104"/>
      <c r="AA109" s="104"/>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536" t="s">
        <v>86</v>
      </c>
      <c r="F110" s="87">
        <v>0</v>
      </c>
      <c r="G110" s="124"/>
      <c r="H110" s="69"/>
      <c r="I110" s="69"/>
      <c r="J110" s="69"/>
      <c r="K110" s="69"/>
      <c r="L110" s="69"/>
      <c r="M110" s="166"/>
      <c r="N110" s="113"/>
      <c r="O110" s="69"/>
      <c r="P110" s="69"/>
      <c r="Q110" s="69"/>
      <c r="R110" s="69"/>
      <c r="S110" s="104"/>
      <c r="T110" s="104"/>
      <c r="U110" s="104"/>
      <c r="V110" s="104"/>
      <c r="W110" s="104"/>
      <c r="X110" s="104"/>
      <c r="Y110" s="104"/>
      <c r="Z110" s="104"/>
      <c r="AA110" s="104"/>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37"/>
      <c r="F111" s="87">
        <v>1</v>
      </c>
      <c r="G111" s="124"/>
      <c r="H111" s="148"/>
      <c r="I111" s="69">
        <f>IF(A6stdlife="n/a","n/a",IF(I$3&gt;(A6stdlife+$F111),(Input!$H$148*(1+vanilla1)^0.5)-SUM($H111:H111),(Input!$H$148*(1+vanilla1)^0.5)/A6stdlife))</f>
        <v>0.60155928584316842</v>
      </c>
      <c r="J111" s="69">
        <f>IF(A6stdlife="n/a","n/a",IF(J$3&gt;(A6stdlife+$F111),(Input!$H$148*(1+vanilla1)^0.5)-SUM($H111:I111),(Input!$H$148*(1+vanilla1)^0.5)/A6stdlife))</f>
        <v>0.60155928584316842</v>
      </c>
      <c r="K111" s="69">
        <f>IF(A6stdlife="n/a","n/a",IF(K$3&gt;(A6stdlife+$F111),(Input!$H$148*(1+vanilla1)^0.5)-SUM($H111:J111),(Input!$H$148*(1+vanilla1)^0.5)/A6stdlife))</f>
        <v>0.60155928584316842</v>
      </c>
      <c r="L111" s="69">
        <f>IF(A6stdlife="n/a","n/a",IF(L$3&gt;(A6stdlife+$F111),(Input!$H$148*(1+vanilla1)^0.5)-SUM($H111:K111),(Input!$H$148*(1+vanilla1)^0.5)/A6stdlife))</f>
        <v>0.60155928584316842</v>
      </c>
      <c r="M111" s="69">
        <f>IF(A6stdlife="n/a","n/a",IF(M$3&gt;(A6stdlife+$F111),(Input!$H$148*(1+vanilla1)^0.5)-SUM($H111:L111),(Input!$H$148*(1+vanilla1)^0.5)/A6stdlife))</f>
        <v>0.60155928584316842</v>
      </c>
      <c r="N111" s="69">
        <f>IF(A6stdlife="n/a","n/a",IF(N$3&gt;(A6stdlife+$F111),(Input!$H$148*(1+vanilla1)^0.5)-SUM($H111:M111),(Input!$H$148*(1+vanilla1)^0.5)/A6stdlife))</f>
        <v>0.60155928584316842</v>
      </c>
      <c r="O111" s="69">
        <f>IF(A6stdlife="n/a","n/a",IF(O$3&gt;(A6stdlife+$F111),(Input!$H$148*(1+vanilla1)^0.5)-SUM($H111:N111),(Input!$H$148*(1+vanilla1)^0.5)/A6stdlife))</f>
        <v>-4.4408920985006262E-16</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37"/>
      <c r="F112" s="87">
        <v>2</v>
      </c>
      <c r="G112" s="124"/>
      <c r="H112" s="149"/>
      <c r="I112" s="150"/>
      <c r="J112" s="69">
        <f>IF(A6stdlife="n/a","n/a",IF(J$3&gt;(A6stdlife+$F112),(Input!$I$148*(1+vanilla2)^0.5)-SUM($I112:I112),(Input!$I$148*(1+vanilla2)^0.5)/A6stdlife))</f>
        <v>0.96674385254136919</v>
      </c>
      <c r="K112" s="69">
        <f>IF(A6stdlife="n/a","n/a",IF(K$3&gt;(A6stdlife+$F112),(Input!$I$148*(1+vanilla2)^0.5)-SUM($I112:J112),(Input!$I$148*(1+vanilla2)^0.5)/A6stdlife))</f>
        <v>0.96674385254136919</v>
      </c>
      <c r="L112" s="69">
        <f>IF(A6stdlife="n/a","n/a",IF(L$3&gt;(A6stdlife+$F112),(Input!$I$148*(1+vanilla2)^0.5)-SUM($I112:K112),(Input!$I$148*(1+vanilla2)^0.5)/A6stdlife))</f>
        <v>0.96674385254136919</v>
      </c>
      <c r="M112" s="69">
        <f>IF(A6stdlife="n/a","n/a",IF(M$3&gt;(A6stdlife+$F112),(Input!$I$148*(1+vanilla2)^0.5)-SUM($I112:L112),(Input!$I$148*(1+vanilla2)^0.5)/A6stdlife))</f>
        <v>0.96674385254136919</v>
      </c>
      <c r="N112" s="69">
        <f>IF(A6stdlife="n/a","n/a",IF(N$3&gt;(A6stdlife+$F112),(Input!$I$148*(1+vanilla2)^0.5)-SUM($I112:M112),(Input!$I$148*(1+vanilla2)^0.5)/A6stdlife))</f>
        <v>0.96674385254136919</v>
      </c>
      <c r="O112" s="69">
        <f>IF(A6stdlife="n/a","n/a",IF(O$3&gt;(A6stdlife+$F112),(Input!$I$148*(1+vanilla2)^0.5)-SUM($I112:N112),(Input!$I$148*(1+vanilla2)^0.5)/A6stdlife))</f>
        <v>0.96674385254136919</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37"/>
      <c r="F113" s="87">
        <v>3</v>
      </c>
      <c r="G113" s="124"/>
      <c r="H113" s="149"/>
      <c r="I113" s="151"/>
      <c r="J113" s="150"/>
      <c r="K113" s="69">
        <f>IF(A6stdlife="n/a","n/a",IF(K$3&gt;(A6stdlife+$F113),(Input!$J$148*(1+vanilla3)^0.5)-SUM($J113:J113),(Input!$J$148*(1+vanilla3)^0.5)/A6stdlife))</f>
        <v>0.81760832371588765</v>
      </c>
      <c r="L113" s="69">
        <f>IF(A6stdlife="n/a","n/a",IF(L$3&gt;(A6stdlife+$F113),(Input!$J$148*(1+vanilla3)^0.5)-SUM($J113:K113),(Input!$J$148*(1+vanilla3)^0.5)/A6stdlife))</f>
        <v>0.81760832371588765</v>
      </c>
      <c r="M113" s="69">
        <f>IF(A6stdlife="n/a","n/a",IF(M$3&gt;(A6stdlife+$F113),(Input!$J$148*(1+vanilla3)^0.5)-SUM($J113:L113),(Input!$J$148*(1+vanilla3)^0.5)/A6stdlife))</f>
        <v>0.81760832371588765</v>
      </c>
      <c r="N113" s="69">
        <f>IF(A6stdlife="n/a","n/a",IF(N$3&gt;(A6stdlife+$F113),(Input!$J$148*(1+vanilla3)^0.5)-SUM($J113:M113),(Input!$J$148*(1+vanilla3)^0.5)/A6stdlife))</f>
        <v>0.81760832371588765</v>
      </c>
      <c r="O113" s="69">
        <f>IF(A6stdlife="n/a","n/a",IF(O$3&gt;(A6stdlife+$F113),(Input!$J$148*(1+vanilla3)^0.5)-SUM($J113:N113),(Input!$J$148*(1+vanilla3)^0.5)/A6stdlife))</f>
        <v>0.81760832371588765</v>
      </c>
      <c r="P113" s="69">
        <f>IF(A6stdlife="n/a","n/a",IF(P$3&gt;(A6stdlife+$F113),(Input!$J$148*(1+vanilla3)^0.5)-SUM($J113:O113),(Input!$J$148*(1+vanilla3)^0.5)/A6stdlife))</f>
        <v>0.81760832371588765</v>
      </c>
      <c r="Q113" s="69">
        <f>IF(A6stdlife="n/a","n/a",IF(Q$3&gt;(A6stdlife+$F113),(Input!$J$148*(1+vanilla3)^0.5)-SUM($J113:P113),(Input!$J$148*(1+vanilla3)^0.5)/A6stdlife))</f>
        <v>0</v>
      </c>
      <c r="R113" s="69"/>
      <c r="S113" s="104"/>
      <c r="T113" s="104"/>
      <c r="U113" s="104"/>
      <c r="V113" s="104"/>
      <c r="W113" s="104"/>
      <c r="X113" s="104"/>
      <c r="Y113" s="104"/>
      <c r="Z113" s="104"/>
      <c r="AA113" s="104"/>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537"/>
      <c r="F114" s="87">
        <v>4</v>
      </c>
      <c r="G114" s="124"/>
      <c r="H114" s="149"/>
      <c r="I114" s="151"/>
      <c r="J114" s="151"/>
      <c r="K114" s="150"/>
      <c r="L114" s="69">
        <f>IF(A6stdlife="n/a","n/a",IF(L$3&gt;(A6stdlife+$F114),(Input!$K$148*(1+vanilla4)^0.5)-SUM($K114:K114),(Input!$K$148*(1+vanilla4)^0.5)/A6stdlife))</f>
        <v>1.3667950892151455</v>
      </c>
      <c r="M114" s="69">
        <f>IF(A6stdlife="n/a","n/a",IF(M$3&gt;(A6stdlife+$F114),(Input!$K$148*(1+vanilla4)^0.5)-SUM($K114:L114),(Input!$K$148*(1+vanilla4)^0.5)/A6stdlife))</f>
        <v>1.3667950892151455</v>
      </c>
      <c r="N114" s="69">
        <f>IF(A6stdlife="n/a","n/a",IF(N$3&gt;(A6stdlife+$F114),(Input!$K$148*(1+vanilla4)^0.5)-SUM($K114:M114),(Input!$K$148*(1+vanilla4)^0.5)/A6stdlife))</f>
        <v>1.3667950892151455</v>
      </c>
      <c r="O114" s="69">
        <f>IF(A6stdlife="n/a","n/a",IF(O$3&gt;(A6stdlife+$F114),(Input!$K$148*(1+vanilla4)^0.5)-SUM($K114:N114),(Input!$K$148*(1+vanilla4)^0.5)/A6stdlife))</f>
        <v>1.3667950892151455</v>
      </c>
      <c r="P114" s="69">
        <f>IF(A6stdlife="n/a","n/a",IF(P$3&gt;(A6stdlife+$F114),(Input!$K$148*(1+vanilla4)^0.5)-SUM($K114:O114),(Input!$K$148*(1+vanilla4)^0.5)/A6stdlife))</f>
        <v>1.3667950892151455</v>
      </c>
      <c r="Q114" s="69">
        <f>IF(A6stdlife="n/a","n/a",IF(Q$3&gt;(A6stdlife+$F114),(Input!$K$148*(1+vanilla4)^0.5)-SUM($K114:P114),(Input!$K$148*(1+vanilla4)^0.5)/A6stdlife))</f>
        <v>1.3667950892151455</v>
      </c>
      <c r="R114" s="69"/>
      <c r="S114" s="104"/>
      <c r="T114" s="104"/>
      <c r="U114" s="104"/>
      <c r="V114" s="104"/>
      <c r="W114" s="104"/>
      <c r="X114" s="104"/>
      <c r="Y114" s="104"/>
      <c r="Z114" s="104"/>
      <c r="AA114" s="104"/>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537"/>
      <c r="F115" s="87">
        <v>5</v>
      </c>
      <c r="G115" s="124"/>
      <c r="H115" s="149"/>
      <c r="I115" s="151"/>
      <c r="J115" s="151"/>
      <c r="K115" s="151"/>
      <c r="L115" s="150"/>
      <c r="M115" s="69">
        <f>IF(A6stdlife="n/a","n/a",IF(M$3&gt;(A6stdlife+$F115),(Input!$L$148*(1+vanilla5)^0.5)-SUM($L115:L115),(Input!$L$148*(1+vanilla5)^0.5)/A6stdlife))</f>
        <v>2.3798126203277974</v>
      </c>
      <c r="N115" s="69">
        <f>IF(A6stdlife="n/a","n/a",IF(N$3&gt;(A6stdlife+$F115),(Input!$L$148*(1+vanilla5)^0.5)-SUM($L115:M115),(Input!$L$148*(1+vanilla5)^0.5)/A6stdlife))</f>
        <v>2.3798126203277974</v>
      </c>
      <c r="O115" s="69">
        <f>IF(A6stdlife="n/a","n/a",IF(O$3&gt;(A6stdlife+$F115),(Input!$L$148*(1+vanilla5)^0.5)-SUM($L115:N115),(Input!$L$148*(1+vanilla5)^0.5)/A6stdlife))</f>
        <v>2.3798126203277974</v>
      </c>
      <c r="P115" s="69">
        <f>IF(A6stdlife="n/a","n/a",IF(P$3&gt;(A6stdlife+$F115),(Input!$L$148*(1+vanilla5)^0.5)-SUM($L115:O115),(Input!$L$148*(1+vanilla5)^0.5)/A6stdlife))</f>
        <v>2.3798126203277974</v>
      </c>
      <c r="Q115" s="69">
        <f>IF(A6stdlife="n/a","n/a",IF(Q$3&gt;(A6stdlife+$F115),(Input!$L$148*(1+vanilla5)^0.5)-SUM($L115:P115),(Input!$L$148*(1+vanilla5)^0.5)/A6stdlife))</f>
        <v>2.3798126203277974</v>
      </c>
      <c r="R115" s="69"/>
      <c r="S115" s="104"/>
      <c r="T115" s="104"/>
      <c r="U115" s="104"/>
      <c r="V115" s="104"/>
      <c r="W115" s="104"/>
      <c r="X115" s="104"/>
      <c r="Y115" s="104"/>
      <c r="Z115" s="104"/>
      <c r="AA115" s="104"/>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537"/>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37"/>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37"/>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37"/>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37"/>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Non-network general assets - IT</v>
      </c>
      <c r="E121" s="9"/>
      <c r="F121" s="9"/>
      <c r="G121" s="124"/>
      <c r="H121" s="168">
        <f>-SUM(H109:H120)</f>
        <v>-1.437845783560894E-2</v>
      </c>
      <c r="I121" s="168">
        <f>-SUM(I109:I120)</f>
        <v>-0.61593774367877741</v>
      </c>
      <c r="J121" s="168">
        <f>-SUM(J109:J120)</f>
        <v>-1.5826815962201466</v>
      </c>
      <c r="K121" s="168">
        <f>-SUM(K109:K120)</f>
        <v>-2.4002899199360344</v>
      </c>
      <c r="L121" s="168">
        <f>-SUM(L109:L120)</f>
        <v>-3.7670850091511801</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Non-network general assets - Other</v>
      </c>
      <c r="D122" s="164"/>
      <c r="E122" s="34" t="s">
        <v>28</v>
      </c>
      <c r="F122" s="33"/>
      <c r="G122" s="178"/>
      <c r="H122" s="68">
        <f>IF(H$3&gt;A7remlife,A7value-SUM($G122:G122),IF(A7remlife="N/A","n/a",A7value/A7remlife))</f>
        <v>1.8230591991876834</v>
      </c>
      <c r="I122" s="68">
        <f>IF(I$3&gt;A7remlife,A7value-SUM($G122:H122),IF(A7remlife="N/A","n/a",A7value/A7remlife))</f>
        <v>1.8230591991876834</v>
      </c>
      <c r="J122" s="68">
        <f>IF(J$3&gt;A7remlife,A7value-SUM($G122:I122),IF(A7remlife="N/A","n/a",A7value/A7remlife))</f>
        <v>1.8230591991876834</v>
      </c>
      <c r="K122" s="68">
        <f>IF(K$3&gt;A7remlife,A7value-SUM($G122:J122),IF(A7remlife="N/A","n/a",A7value/A7remlife))</f>
        <v>1.8230591991876834</v>
      </c>
      <c r="L122" s="68">
        <f>IF(L$3&gt;A7remlife,A7value-SUM($G122:K122),IF(A7remlife="N/A","n/a",A7value/A7remlife))</f>
        <v>1.8230591991876834</v>
      </c>
      <c r="M122" s="68">
        <f>IF(M$3&gt;A7remlife,A7value-SUM($G122:L122),IF(A7remlife="N/A","n/a",A7value/A7remlife))</f>
        <v>1.8230591991876834</v>
      </c>
      <c r="N122" s="68">
        <f>IF(N$3&gt;A7remlife,A7value-SUM($G122:M122),IF(A7remlife="N/A","n/a",A7value/A7remlife))</f>
        <v>1.0361503418775886</v>
      </c>
      <c r="O122" s="68">
        <f>IF(O$3&gt;A7remlife,A7value-SUM($G122:N122),IF(A7remlife="N/A","n/a",A7value/A7remlife))</f>
        <v>0</v>
      </c>
      <c r="P122" s="68">
        <f>IF(P$3&gt;A7remlife,A7value-SUM($G122:O122),IF(A7remlife="N/A","n/a",A7value/A7remlife))</f>
        <v>0</v>
      </c>
      <c r="Q122" s="68">
        <f>IF(Q$3&gt;A7remlife,A7value-SUM($G122:P122),IF(A7remlife="N/A","n/a",A7value/A7remlife))</f>
        <v>0</v>
      </c>
      <c r="R122" s="68"/>
      <c r="S122" s="104"/>
      <c r="T122" s="104"/>
      <c r="U122" s="104"/>
      <c r="V122" s="104"/>
      <c r="W122" s="104"/>
      <c r="X122" s="104"/>
      <c r="Y122" s="104"/>
      <c r="Z122" s="104"/>
      <c r="AA122" s="104"/>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536" t="s">
        <v>86</v>
      </c>
      <c r="F123" s="87">
        <v>0</v>
      </c>
      <c r="G123" s="124"/>
      <c r="H123" s="69"/>
      <c r="I123" s="69"/>
      <c r="J123" s="69"/>
      <c r="K123" s="69"/>
      <c r="L123" s="69"/>
      <c r="M123" s="166"/>
      <c r="N123" s="113"/>
      <c r="O123" s="69"/>
      <c r="P123" s="69"/>
      <c r="Q123" s="69"/>
      <c r="R123" s="69"/>
      <c r="S123" s="104"/>
      <c r="T123" s="104"/>
      <c r="U123" s="104"/>
      <c r="V123" s="104"/>
      <c r="W123" s="104"/>
      <c r="X123" s="104"/>
      <c r="Y123" s="104"/>
      <c r="Z123" s="104"/>
      <c r="AA123" s="104"/>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37"/>
      <c r="F124" s="87">
        <v>1</v>
      </c>
      <c r="G124" s="124"/>
      <c r="H124" s="148"/>
      <c r="I124" s="69">
        <f>IF(A7stdlife="n/a","n/a",IF(I$3&gt;(A7stdlife+$F124),(Input!$H$149*(1+vanilla1)^0.5)-SUM($H124:H124),(Input!$H$149*(1+vanilla1)^0.5)/A7stdlife))</f>
        <v>9.4678233739669757E-2</v>
      </c>
      <c r="J124" s="69">
        <f>IF(A7stdlife="n/a","n/a",IF(J$3&gt;(A7stdlife+$F124),(Input!$H$149*(1+vanilla1)^0.5)-SUM($H124:I124),(Input!$H$149*(1+vanilla1)^0.5)/A7stdlife))</f>
        <v>9.4678233739669757E-2</v>
      </c>
      <c r="K124" s="69">
        <f>IF(A7stdlife="n/a","n/a",IF(K$3&gt;(A7stdlife+$F124),(Input!$H$149*(1+vanilla1)^0.5)-SUM($H124:J124),(Input!$H$149*(1+vanilla1)^0.5)/A7stdlife))</f>
        <v>9.4678233739669757E-2</v>
      </c>
      <c r="L124" s="69">
        <f>IF(A7stdlife="n/a","n/a",IF(L$3&gt;(A7stdlife+$F124),(Input!$H$149*(1+vanilla1)^0.5)-SUM($H124:K124),(Input!$H$149*(1+vanilla1)^0.5)/A7stdlife))</f>
        <v>9.4678233739669757E-2</v>
      </c>
      <c r="M124" s="69">
        <f>IF(A7stdlife="n/a","n/a",IF(M$3&gt;(A7stdlife+$F124),(Input!$H$149*(1+vanilla1)^0.5)-SUM($H124:L124),(Input!$H$149*(1+vanilla1)^0.5)/A7stdlife))</f>
        <v>9.4678233739669757E-2</v>
      </c>
      <c r="N124" s="69">
        <f>IF(A7stdlife="n/a","n/a",IF(N$3&gt;(A7stdlife+$F124),(Input!$H$149*(1+vanilla1)^0.5)-SUM($H124:M124),(Input!$H$149*(1+vanilla1)^0.5)/A7stdlife))</f>
        <v>9.4678233739669757E-2</v>
      </c>
      <c r="O124" s="69">
        <f>IF(A7stdlife="n/a","n/a",IF(O$3&gt;(A7stdlife+$F124),(Input!$H$149*(1+vanilla1)^0.5)-SUM($H124:N124),(Input!$H$149*(1+vanilla1)^0.5)/A7stdlife))</f>
        <v>9.4678233739669757E-2</v>
      </c>
      <c r="P124" s="69">
        <f>IF(A7stdlife="n/a","n/a",IF(P$3&gt;(A7stdlife+$F124),(Input!$H$149*(1+vanilla1)^0.5)-SUM($H124:O124),(Input!$H$149*(1+vanilla1)^0.5)/A7stdlife))</f>
        <v>9.4678233739669757E-2</v>
      </c>
      <c r="Q124" s="69">
        <f>IF(A7stdlife="n/a","n/a",IF(Q$3&gt;(A7stdlife+$F124),(Input!$H$149*(1+vanilla1)^0.5)-SUM($H124:P124),(Input!$H$149*(1+vanilla1)^0.5)/A7stdlife))</f>
        <v>9.4678233739669757E-2</v>
      </c>
      <c r="R124" s="69"/>
      <c r="S124" s="104"/>
      <c r="T124" s="104"/>
      <c r="U124" s="104"/>
      <c r="V124" s="104"/>
      <c r="W124" s="104"/>
      <c r="X124" s="104"/>
      <c r="Y124" s="104"/>
      <c r="Z124" s="104"/>
      <c r="AA124" s="104"/>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37"/>
      <c r="F125" s="87">
        <v>2</v>
      </c>
      <c r="G125" s="124"/>
      <c r="H125" s="149"/>
      <c r="I125" s="150"/>
      <c r="J125" s="69">
        <f>IF(A7stdlife="n/a","n/a",IF(J$3&gt;(A7stdlife+$F125),(Input!$I$149*(1+vanilla2)^0.5)-SUM($I125:I125),(Input!$I$149*(1+vanilla2)^0.5)/A7stdlife))</f>
        <v>2.1840189554445746E-2</v>
      </c>
      <c r="K125" s="69">
        <f>IF(A7stdlife="n/a","n/a",IF(K$3&gt;(A7stdlife+$F125),(Input!$I$149*(1+vanilla2)^0.5)-SUM($I125:J125),(Input!$I$149*(1+vanilla2)^0.5)/A7stdlife))</f>
        <v>2.1840189554445746E-2</v>
      </c>
      <c r="L125" s="69">
        <f>IF(A7stdlife="n/a","n/a",IF(L$3&gt;(A7stdlife+$F125),(Input!$I$149*(1+vanilla2)^0.5)-SUM($I125:K125),(Input!$I$149*(1+vanilla2)^0.5)/A7stdlife))</f>
        <v>2.1840189554445746E-2</v>
      </c>
      <c r="M125" s="69">
        <f>IF(A7stdlife="n/a","n/a",IF(M$3&gt;(A7stdlife+$F125),(Input!$I$149*(1+vanilla2)^0.5)-SUM($I125:L125),(Input!$I$149*(1+vanilla2)^0.5)/A7stdlife))</f>
        <v>2.1840189554445746E-2</v>
      </c>
      <c r="N125" s="69">
        <f>IF(A7stdlife="n/a","n/a",IF(N$3&gt;(A7stdlife+$F125),(Input!$I$149*(1+vanilla2)^0.5)-SUM($I125:M125),(Input!$I$149*(1+vanilla2)^0.5)/A7stdlife))</f>
        <v>2.1840189554445746E-2</v>
      </c>
      <c r="O125" s="69">
        <f>IF(A7stdlife="n/a","n/a",IF(O$3&gt;(A7stdlife+$F125),(Input!$I$149*(1+vanilla2)^0.5)-SUM($I125:N125),(Input!$I$149*(1+vanilla2)^0.5)/A7stdlife))</f>
        <v>2.1840189554445746E-2</v>
      </c>
      <c r="P125" s="69">
        <f>IF(A7stdlife="n/a","n/a",IF(P$3&gt;(A7stdlife+$F125),(Input!$I$149*(1+vanilla2)^0.5)-SUM($I125:O125),(Input!$I$149*(1+vanilla2)^0.5)/A7stdlife))</f>
        <v>2.1840189554445746E-2</v>
      </c>
      <c r="Q125" s="69">
        <f>IF(A7stdlife="n/a","n/a",IF(Q$3&gt;(A7stdlife+$F125),(Input!$I$149*(1+vanilla2)^0.5)-SUM($I125:P125),(Input!$I$149*(1+vanilla2)^0.5)/A7stdlife))</f>
        <v>2.1840189554445746E-2</v>
      </c>
      <c r="R125" s="69"/>
      <c r="S125" s="104"/>
      <c r="T125" s="104"/>
      <c r="U125" s="104"/>
      <c r="V125" s="104"/>
      <c r="W125" s="104"/>
      <c r="X125" s="104"/>
      <c r="Y125" s="104"/>
      <c r="Z125" s="104"/>
      <c r="AA125" s="104"/>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37"/>
      <c r="F126" s="87">
        <v>3</v>
      </c>
      <c r="G126" s="124"/>
      <c r="H126" s="149"/>
      <c r="I126" s="151"/>
      <c r="J126" s="150"/>
      <c r="K126" s="69">
        <f>IF(A7stdlife="n/a","n/a",IF(K$3&gt;(A7stdlife+$F126),(Input!$J$149*(1+vanilla3)^0.5)-SUM($J126:J126),(Input!$J$149*(1+vanilla3)^0.5)/A7stdlife))</f>
        <v>0.24320072022886524</v>
      </c>
      <c r="L126" s="69">
        <f>IF(A7stdlife="n/a","n/a",IF(L$3&gt;(A7stdlife+$F126),(Input!$J$149*(1+vanilla3)^0.5)-SUM($J126:K126),(Input!$J$149*(1+vanilla3)^0.5)/A7stdlife))</f>
        <v>0.24320072022886524</v>
      </c>
      <c r="M126" s="69">
        <f>IF(A7stdlife="n/a","n/a",IF(M$3&gt;(A7stdlife+$F126),(Input!$J$149*(1+vanilla3)^0.5)-SUM($J126:L126),(Input!$J$149*(1+vanilla3)^0.5)/A7stdlife))</f>
        <v>0.24320072022886524</v>
      </c>
      <c r="N126" s="69">
        <f>IF(A7stdlife="n/a","n/a",IF(N$3&gt;(A7stdlife+$F126),(Input!$J$149*(1+vanilla3)^0.5)-SUM($J126:M126),(Input!$J$149*(1+vanilla3)^0.5)/A7stdlife))</f>
        <v>0.24320072022886524</v>
      </c>
      <c r="O126" s="69">
        <f>IF(A7stdlife="n/a","n/a",IF(O$3&gt;(A7stdlife+$F126),(Input!$J$149*(1+vanilla3)^0.5)-SUM($J126:N126),(Input!$J$149*(1+vanilla3)^0.5)/A7stdlife))</f>
        <v>0.24320072022886524</v>
      </c>
      <c r="P126" s="69">
        <f>IF(A7stdlife="n/a","n/a",IF(P$3&gt;(A7stdlife+$F126),(Input!$J$149*(1+vanilla3)^0.5)-SUM($J126:O126),(Input!$J$149*(1+vanilla3)^0.5)/A7stdlife))</f>
        <v>0.24320072022886524</v>
      </c>
      <c r="Q126" s="69">
        <f>IF(A7stdlife="n/a","n/a",IF(Q$3&gt;(A7stdlife+$F126),(Input!$J$149*(1+vanilla3)^0.5)-SUM($J126:P126),(Input!$J$149*(1+vanilla3)^0.5)/A7stdlife))</f>
        <v>0.24320072022886524</v>
      </c>
      <c r="R126" s="69"/>
      <c r="S126" s="104"/>
      <c r="T126" s="104"/>
      <c r="U126" s="104"/>
      <c r="V126" s="104"/>
      <c r="W126" s="104"/>
      <c r="X126" s="104"/>
      <c r="Y126" s="104"/>
      <c r="Z126" s="104"/>
      <c r="AA126" s="104"/>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537"/>
      <c r="F127" s="87">
        <v>4</v>
      </c>
      <c r="G127" s="124"/>
      <c r="H127" s="149"/>
      <c r="I127" s="151"/>
      <c r="J127" s="151"/>
      <c r="K127" s="150"/>
      <c r="L127" s="69">
        <f>IF(A7stdlife="n/a","n/a",IF(L$3&gt;(A7stdlife+$F127),(Input!$K$149*(1+vanilla4)^0.5)-SUM($K127:K127),(Input!$K$149*(1+vanilla4)^0.5)/A7stdlife))</f>
        <v>0.46304401801461531</v>
      </c>
      <c r="M127" s="69">
        <f>IF(A7stdlife="n/a","n/a",IF(M$3&gt;(A7stdlife+$F127),(Input!$K$149*(1+vanilla4)^0.5)-SUM($K127:L127),(Input!$K$149*(1+vanilla4)^0.5)/A7stdlife))</f>
        <v>0.46304401801461531</v>
      </c>
      <c r="N127" s="69">
        <f>IF(A7stdlife="n/a","n/a",IF(N$3&gt;(A7stdlife+$F127),(Input!$K$149*(1+vanilla4)^0.5)-SUM($K127:M127),(Input!$K$149*(1+vanilla4)^0.5)/A7stdlife))</f>
        <v>0.46304401801461531</v>
      </c>
      <c r="O127" s="69">
        <f>IF(A7stdlife="n/a","n/a",IF(O$3&gt;(A7stdlife+$F127),(Input!$K$149*(1+vanilla4)^0.5)-SUM($K127:N127),(Input!$K$149*(1+vanilla4)^0.5)/A7stdlife))</f>
        <v>0.46304401801461531</v>
      </c>
      <c r="P127" s="69">
        <f>IF(A7stdlife="n/a","n/a",IF(P$3&gt;(A7stdlife+$F127),(Input!$K$149*(1+vanilla4)^0.5)-SUM($K127:O127),(Input!$K$149*(1+vanilla4)^0.5)/A7stdlife))</f>
        <v>0.46304401801461531</v>
      </c>
      <c r="Q127" s="69">
        <f>IF(A7stdlife="n/a","n/a",IF(Q$3&gt;(A7stdlife+$F127),(Input!$K$149*(1+vanilla4)^0.5)-SUM($K127:P127),(Input!$K$149*(1+vanilla4)^0.5)/A7stdlife))</f>
        <v>0.46304401801461531</v>
      </c>
      <c r="R127" s="69"/>
      <c r="S127" s="104"/>
      <c r="T127" s="104"/>
      <c r="U127" s="104"/>
      <c r="V127" s="104"/>
      <c r="W127" s="104"/>
      <c r="X127" s="104"/>
      <c r="Y127" s="104"/>
      <c r="Z127" s="104"/>
      <c r="AA127" s="104"/>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537"/>
      <c r="F128" s="87">
        <v>5</v>
      </c>
      <c r="G128" s="124"/>
      <c r="H128" s="149"/>
      <c r="I128" s="151"/>
      <c r="J128" s="151"/>
      <c r="K128" s="151"/>
      <c r="L128" s="150"/>
      <c r="M128" s="69">
        <f>IF(A7stdlife="n/a","n/a",IF(M$3&gt;(A7stdlife+$F128),(Input!$L$149*(1+vanilla5)^0.5)-SUM($L128:L128),(Input!$L$149*(1+vanilla5)^0.5)/A7stdlife))</f>
        <v>0.24892780518989049</v>
      </c>
      <c r="N128" s="69">
        <f>IF(A7stdlife="n/a","n/a",IF(N$3&gt;(A7stdlife+$F128),(Input!$L$149*(1+vanilla5)^0.5)-SUM($L128:M128),(Input!$L$149*(1+vanilla5)^0.5)/A7stdlife))</f>
        <v>0.24892780518989049</v>
      </c>
      <c r="O128" s="69">
        <f>IF(A7stdlife="n/a","n/a",IF(O$3&gt;(A7stdlife+$F128),(Input!$L$149*(1+vanilla5)^0.5)-SUM($L128:N128),(Input!$L$149*(1+vanilla5)^0.5)/A7stdlife))</f>
        <v>0.24892780518989049</v>
      </c>
      <c r="P128" s="69">
        <f>IF(A7stdlife="n/a","n/a",IF(P$3&gt;(A7stdlife+$F128),(Input!$L$149*(1+vanilla5)^0.5)-SUM($L128:O128),(Input!$L$149*(1+vanilla5)^0.5)/A7stdlife))</f>
        <v>0.24892780518989049</v>
      </c>
      <c r="Q128" s="69">
        <f>IF(A7stdlife="n/a","n/a",IF(Q$3&gt;(A7stdlife+$F128),(Input!$L$149*(1+vanilla5)^0.5)-SUM($L128:P128),(Input!$L$149*(1+vanilla5)^0.5)/A7stdlife))</f>
        <v>0.24892780518989049</v>
      </c>
      <c r="R128" s="69"/>
      <c r="S128" s="104"/>
      <c r="T128" s="104"/>
      <c r="U128" s="104"/>
      <c r="V128" s="104"/>
      <c r="W128" s="104"/>
      <c r="X128" s="104"/>
      <c r="Y128" s="104"/>
      <c r="Z128" s="104"/>
      <c r="AA128" s="104"/>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537"/>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37"/>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37"/>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37"/>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37"/>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Non-network general assets - Other</v>
      </c>
      <c r="E134" s="9"/>
      <c r="F134" s="9"/>
      <c r="G134" s="124"/>
      <c r="H134" s="168">
        <f>-SUM(H122:H133)</f>
        <v>-1.8230591991876834</v>
      </c>
      <c r="I134" s="168">
        <f>-SUM(I122:I133)</f>
        <v>-1.9177374329273531</v>
      </c>
      <c r="J134" s="168">
        <f>-SUM(J122:J133)</f>
        <v>-1.9395776224817989</v>
      </c>
      <c r="K134" s="168">
        <f>-SUM(K122:K133)</f>
        <v>-2.1827783427106642</v>
      </c>
      <c r="L134" s="168">
        <f>-SUM(L122:L133)</f>
        <v>-2.6458223607252793</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VBRC</v>
      </c>
      <c r="D135" s="164"/>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536" t="s">
        <v>86</v>
      </c>
      <c r="F136" s="87">
        <v>0</v>
      </c>
      <c r="G136" s="124"/>
      <c r="H136" s="69"/>
      <c r="I136" s="69"/>
      <c r="J136" s="69"/>
      <c r="K136" s="69"/>
      <c r="L136" s="69"/>
      <c r="M136" s="166"/>
      <c r="N136" s="113"/>
      <c r="O136" s="69"/>
      <c r="P136" s="69"/>
      <c r="Q136" s="69"/>
      <c r="R136" s="69"/>
      <c r="S136" s="104"/>
      <c r="T136" s="104"/>
      <c r="U136" s="104"/>
      <c r="V136" s="104"/>
      <c r="W136" s="104"/>
      <c r="X136" s="104"/>
      <c r="Y136" s="104"/>
      <c r="Z136" s="104"/>
      <c r="AA136" s="10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537"/>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537"/>
      <c r="F138" s="87">
        <v>2</v>
      </c>
      <c r="G138" s="124"/>
      <c r="H138" s="149"/>
      <c r="I138" s="150"/>
      <c r="J138" s="69">
        <f>IF(A8stdlife="n/a","n/a",IF(J$3&gt;(A8stdlife+$F138),(Input!$I$150*(1+vanilla2)^0.5)-SUM($I138:I138),(Input!$I$150*(1+vanilla2)^0.5)/A8stdlife))</f>
        <v>0</v>
      </c>
      <c r="K138" s="69">
        <f>IF(A8stdlife="n/a","n/a",IF(K$3&gt;(A8stdlife+$F138),(Input!$I$150*(1+vanilla2)^0.5)-SUM($I138:J138),(Input!$I$150*(1+vanilla2)^0.5)/A8stdlife))</f>
        <v>0</v>
      </c>
      <c r="L138" s="69">
        <f>IF(A8stdlife="n/a","n/a",IF(L$3&gt;(A8stdlife+$F138),(Input!$I$150*(1+vanilla2)^0.5)-SUM($I138:K138),(Input!$I$150*(1+vanilla2)^0.5)/A8stdlife))</f>
        <v>0</v>
      </c>
      <c r="M138" s="69">
        <f>IF(A8stdlife="n/a","n/a",IF(M$3&gt;(A8stdlife+$F138),(Input!$I$150*(1+vanilla2)^0.5)-SUM($I138:L138),(Input!$I$150*(1+vanilla2)^0.5)/A8stdlife))</f>
        <v>0</v>
      </c>
      <c r="N138" s="69">
        <f>IF(A8stdlife="n/a","n/a",IF(N$3&gt;(A8stdlife+$F138),(Input!$I$150*(1+vanilla2)^0.5)-SUM($I138:M138),(Input!$I$150*(1+vanilla2)^0.5)/A8stdlife))</f>
        <v>0</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537"/>
      <c r="F139" s="87">
        <v>3</v>
      </c>
      <c r="G139" s="124"/>
      <c r="H139" s="149"/>
      <c r="I139" s="151"/>
      <c r="J139" s="150"/>
      <c r="K139" s="69">
        <f>IF(A8stdlife="n/a","n/a",IF(K$3&gt;(A8stdlife+$F139),(Input!$J$150*(1+vanilla3)^0.5)-SUM($J139:J139),(Input!$J$150*(1+vanilla3)^0.5)/A8stdlife))</f>
        <v>0</v>
      </c>
      <c r="L139" s="69">
        <f>IF(A8stdlife="n/a","n/a",IF(L$3&gt;(A8stdlife+$F139),(Input!$J$150*(1+vanilla3)^0.5)-SUM($J139:K139),(Input!$J$150*(1+vanilla3)^0.5)/A8stdlife))</f>
        <v>0</v>
      </c>
      <c r="M139" s="69">
        <f>IF(A8stdlife="n/a","n/a",IF(M$3&gt;(A8stdlife+$F139),(Input!$J$150*(1+vanilla3)^0.5)-SUM($J139:L139),(Input!$J$150*(1+vanilla3)^0.5)/A8stdlife))</f>
        <v>0</v>
      </c>
      <c r="N139" s="69">
        <f>IF(A8stdlife="n/a","n/a",IF(N$3&gt;(A8stdlife+$F139),(Input!$J$150*(1+vanilla3)^0.5)-SUM($J139:M139),(Input!$J$150*(1+vanilla3)^0.5)/A8stdlife))</f>
        <v>0</v>
      </c>
      <c r="O139" s="69">
        <f>IF(A8stdlife="n/a","n/a",IF(O$3&gt;(A8stdlife+$F139),(Input!$J$150*(1+vanilla3)^0.5)-SUM($J139:N139),(Input!$J$150*(1+vanilla3)^0.5)/A8stdlife))</f>
        <v>0</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537"/>
      <c r="F140" s="87">
        <v>4</v>
      </c>
      <c r="G140" s="124"/>
      <c r="H140" s="149"/>
      <c r="I140" s="151"/>
      <c r="J140" s="151"/>
      <c r="K140" s="150"/>
      <c r="L140" s="69">
        <f>IF(A8stdlife="n/a","n/a",IF(L$3&gt;(A8stdlife+$F140),(Input!$K$150*(1+vanilla4)^0.5)-SUM($K140:K140),(Input!$K$150*(1+vanilla4)^0.5)/A8stdlife))</f>
        <v>0</v>
      </c>
      <c r="M140" s="69">
        <f>IF(A8stdlife="n/a","n/a",IF(M$3&gt;(A8stdlife+$F140),(Input!$K$150*(1+vanilla4)^0.5)-SUM($K140:L140),(Input!$K$150*(1+vanilla4)^0.5)/A8stdlife))</f>
        <v>0</v>
      </c>
      <c r="N140" s="69">
        <f>IF(A8stdlife="n/a","n/a",IF(N$3&gt;(A8stdlife+$F140),(Input!$K$150*(1+vanilla4)^0.5)-SUM($K140:M140),(Input!$K$150*(1+vanilla4)^0.5)/A8stdlife))</f>
        <v>0</v>
      </c>
      <c r="O140" s="69">
        <f>IF(A8stdlife="n/a","n/a",IF(O$3&gt;(A8stdlife+$F140),(Input!$K$150*(1+vanilla4)^0.5)-SUM($K140:N140),(Input!$K$150*(1+vanilla4)^0.5)/A8stdlife))</f>
        <v>0</v>
      </c>
      <c r="P140" s="69">
        <f>IF(A8stdlife="n/a","n/a",IF(P$3&gt;(A8stdlife+$F140),(Input!$K$150*(1+vanilla4)^0.5)-SUM($K140:O140),(Input!$K$150*(1+vanilla4)^0.5)/A8stdlife))</f>
        <v>0</v>
      </c>
      <c r="Q140" s="69">
        <f>IF(A8stdlife="n/a","n/a",IF(Q$3&gt;(A8stdlife+$F140),(Input!$K$150*(1+vanilla4)^0.5)-SUM($K140:P140),(Input!$K$150*(1+vanilla4)^0.5)/A8stdlife))</f>
        <v>0</v>
      </c>
      <c r="R140" s="69"/>
      <c r="S140" s="104"/>
      <c r="T140" s="104"/>
      <c r="U140" s="104"/>
      <c r="V140" s="104"/>
      <c r="W140" s="104"/>
      <c r="X140" s="104"/>
      <c r="Y140" s="104"/>
      <c r="Z140" s="104"/>
      <c r="AA140" s="104"/>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537"/>
      <c r="F141" s="87">
        <v>5</v>
      </c>
      <c r="G141" s="124"/>
      <c r="H141" s="149"/>
      <c r="I141" s="151"/>
      <c r="J141" s="151"/>
      <c r="K141" s="151"/>
      <c r="L141" s="150"/>
      <c r="M141" s="69">
        <f>IF(A8stdlife="n/a","n/a",IF(M$3&gt;(A8stdlife+$F141),(Input!$L$150*(1+vanilla5)^0.5)-SUM($L141:L141),(Input!$L$150*(1+vanilla5)^0.5)/A8stdlife))</f>
        <v>0</v>
      </c>
      <c r="N141" s="69">
        <f>IF(A8stdlife="n/a","n/a",IF(N$3&gt;(A8stdlife+$F141),(Input!$L$150*(1+vanilla5)^0.5)-SUM($L141:M141),(Input!$L$150*(1+vanilla5)^0.5)/A8stdlife))</f>
        <v>0</v>
      </c>
      <c r="O141" s="69">
        <f>IF(A8stdlife="n/a","n/a",IF(O$3&gt;(A8stdlife+$F141),(Input!$L$150*(1+vanilla5)^0.5)-SUM($L141:N141),(Input!$L$150*(1+vanilla5)^0.5)/A8stdlife))</f>
        <v>0</v>
      </c>
      <c r="P141" s="69">
        <f>IF(A8stdlife="n/a","n/a",IF(P$3&gt;(A8stdlife+$F141),(Input!$L$150*(1+vanilla5)^0.5)-SUM($L141:O141),(Input!$L$150*(1+vanilla5)^0.5)/A8stdlife))</f>
        <v>0</v>
      </c>
      <c r="Q141" s="69">
        <f>IF(A8stdlife="n/a","n/a",IF(Q$3&gt;(A8stdlife+$F141),(Input!$L$150*(1+vanilla5)^0.5)-SUM($L141:P141),(Input!$L$150*(1+vanilla5)^0.5)/A8stdlife))</f>
        <v>0</v>
      </c>
      <c r="R141" s="69"/>
      <c r="S141" s="104"/>
      <c r="T141" s="104"/>
      <c r="U141" s="104"/>
      <c r="V141" s="104"/>
      <c r="W141" s="104"/>
      <c r="X141" s="104"/>
      <c r="Y141" s="104"/>
      <c r="Z141" s="104"/>
      <c r="AA141" s="104"/>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537"/>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37"/>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37"/>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37"/>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37"/>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VBRC</v>
      </c>
      <c r="E147" s="9"/>
      <c r="F147" s="9"/>
      <c r="G147" s="124"/>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Equity raising</v>
      </c>
      <c r="D148" s="164"/>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536" t="s">
        <v>86</v>
      </c>
      <c r="F149" s="87">
        <v>0</v>
      </c>
      <c r="G149" s="124"/>
      <c r="H149" s="69"/>
      <c r="I149" s="69"/>
      <c r="J149" s="69"/>
      <c r="K149" s="69"/>
      <c r="L149" s="69"/>
      <c r="M149" s="166"/>
      <c r="N149" s="113"/>
      <c r="O149" s="69"/>
      <c r="P149" s="69"/>
      <c r="Q149" s="69"/>
      <c r="R149" s="69"/>
      <c r="S149" s="104"/>
      <c r="T149" s="104"/>
      <c r="U149" s="104"/>
      <c r="V149" s="104"/>
      <c r="W149" s="104"/>
      <c r="X149" s="104"/>
      <c r="Y149" s="104"/>
      <c r="Z149" s="104"/>
      <c r="AA149" s="104"/>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37"/>
      <c r="F150" s="87">
        <v>1</v>
      </c>
      <c r="G150" s="124"/>
      <c r="H150" s="148"/>
      <c r="I150" s="69">
        <f>IF(A9stdlife="n/a","n/a",IF(I$3&gt;(A9stdlife+$F150),(Input!$H$151*(1+vanilla1)^0.5)-SUM($H150:H150),(Input!$H$151*(1+vanilla1)^0.5)/A9stdlife))</f>
        <v>6.1103789652521084E-2</v>
      </c>
      <c r="J150" s="69">
        <f>IF(A9stdlife="n/a","n/a",IF(J$3&gt;(A9stdlife+$F150),(Input!$H$151*(1+vanilla1)^0.5)-SUM($H150:I150),(Input!$H$151*(1+vanilla1)^0.5)/A9stdlife))</f>
        <v>6.1103789652521084E-2</v>
      </c>
      <c r="K150" s="69">
        <f>IF(A9stdlife="n/a","n/a",IF(K$3&gt;(A9stdlife+$F150),(Input!$H$151*(1+vanilla1)^0.5)-SUM($H150:J150),(Input!$H$151*(1+vanilla1)^0.5)/A9stdlife))</f>
        <v>6.1103789652521084E-2</v>
      </c>
      <c r="L150" s="69">
        <f>IF(A9stdlife="n/a","n/a",IF(L$3&gt;(A9stdlife+$F150),(Input!$H$151*(1+vanilla1)^0.5)-SUM($H150:K150),(Input!$H$151*(1+vanilla1)^0.5)/A9stdlife))</f>
        <v>6.1103789652521084E-2</v>
      </c>
      <c r="M150" s="69">
        <f>IF(A9stdlife="n/a","n/a",IF(M$3&gt;(A9stdlife+$F150),(Input!$H$151*(1+vanilla1)^0.5)-SUM($H150:L150),(Input!$H$151*(1+vanilla1)^0.5)/A9stdlife))</f>
        <v>6.1103789652521084E-2</v>
      </c>
      <c r="N150" s="69">
        <f>IF(A9stdlife="n/a","n/a",IF(N$3&gt;(A9stdlife+$F150),(Input!$H$151*(1+vanilla1)^0.5)-SUM($H150:M150),(Input!$H$151*(1+vanilla1)^0.5)/A9stdlife))</f>
        <v>6.1103789652521084E-2</v>
      </c>
      <c r="O150" s="69">
        <f>IF(A9stdlife="n/a","n/a",IF(O$3&gt;(A9stdlife+$F150),(Input!$H$151*(1+vanilla1)^0.5)-SUM($H150:N150),(Input!$H$151*(1+vanilla1)^0.5)/A9stdlife))</f>
        <v>6.1103789652521084E-2</v>
      </c>
      <c r="P150" s="69">
        <f>IF(A9stdlife="n/a","n/a",IF(P$3&gt;(A9stdlife+$F150),(Input!$H$151*(1+vanilla1)^0.5)-SUM($H150:O150),(Input!$H$151*(1+vanilla1)^0.5)/A9stdlife))</f>
        <v>6.1103789652521084E-2</v>
      </c>
      <c r="Q150" s="69">
        <f>IF(A9stdlife="n/a","n/a",IF(Q$3&gt;(A9stdlife+$F150),(Input!$H$151*(1+vanilla1)^0.5)-SUM($H150:P150),(Input!$H$151*(1+vanilla1)^0.5)/A9stdlife))</f>
        <v>6.1103789652521084E-2</v>
      </c>
      <c r="R150" s="69"/>
      <c r="S150" s="104"/>
      <c r="T150" s="104"/>
      <c r="U150" s="104"/>
      <c r="V150" s="104"/>
      <c r="W150" s="104"/>
      <c r="X150" s="104"/>
      <c r="Y150" s="104"/>
      <c r="Z150" s="104"/>
      <c r="AA150" s="104"/>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37"/>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37"/>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537"/>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537"/>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537"/>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37"/>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37"/>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37"/>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37"/>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Equity raising</v>
      </c>
      <c r="E160" s="9"/>
      <c r="F160" s="9"/>
      <c r="G160" s="124"/>
      <c r="H160" s="168">
        <f>-SUM(H148:H159)</f>
        <v>0</v>
      </c>
      <c r="I160" s="168">
        <f>-SUM(I148:I159)</f>
        <v>-6.1103789652521084E-2</v>
      </c>
      <c r="J160" s="168">
        <f>-SUM(J148:J159)</f>
        <v>-6.1103789652521084E-2</v>
      </c>
      <c r="K160" s="168">
        <f>-SUM(K148:K159)</f>
        <v>-6.1103789652521084E-2</v>
      </c>
      <c r="L160" s="168">
        <f>-SUM(L148:L159)</f>
        <v>-6.1103789652521084E-2</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536" t="s">
        <v>86</v>
      </c>
      <c r="F162" s="87">
        <v>0</v>
      </c>
      <c r="G162" s="124"/>
      <c r="H162" s="69"/>
      <c r="I162" s="69"/>
      <c r="J162" s="69"/>
      <c r="K162" s="69"/>
      <c r="L162" s="69"/>
      <c r="M162" s="166"/>
      <c r="N162" s="113"/>
      <c r="O162" s="69"/>
      <c r="P162" s="69"/>
      <c r="Q162" s="69"/>
      <c r="R162" s="69"/>
      <c r="S162" s="104"/>
      <c r="T162" s="104"/>
      <c r="U162" s="104"/>
      <c r="V162" s="104"/>
      <c r="W162" s="104"/>
      <c r="X162" s="104"/>
      <c r="Y162" s="104"/>
      <c r="Z162" s="104"/>
      <c r="AA162" s="104"/>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37"/>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4"/>
      <c r="T163" s="104"/>
      <c r="U163" s="104"/>
      <c r="V163" s="104"/>
      <c r="W163" s="104"/>
      <c r="X163" s="104"/>
      <c r="Y163" s="104"/>
      <c r="Z163" s="104"/>
      <c r="AA163" s="104"/>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37"/>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4"/>
      <c r="T164" s="104"/>
      <c r="U164" s="104"/>
      <c r="V164" s="104"/>
      <c r="W164" s="104"/>
      <c r="X164" s="104"/>
      <c r="Y164" s="104"/>
      <c r="Z164" s="104"/>
      <c r="AA164" s="104"/>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37"/>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4"/>
      <c r="T165" s="104"/>
      <c r="U165" s="104"/>
      <c r="V165" s="104"/>
      <c r="W165" s="104"/>
      <c r="X165" s="104"/>
      <c r="Y165" s="104"/>
      <c r="Z165" s="104"/>
      <c r="AA165" s="104"/>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537"/>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4"/>
      <c r="T166" s="104"/>
      <c r="U166" s="104"/>
      <c r="V166" s="104"/>
      <c r="W166" s="104"/>
      <c r="X166" s="104"/>
      <c r="Y166" s="104"/>
      <c r="Z166" s="104"/>
      <c r="AA166" s="104"/>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537"/>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4"/>
      <c r="T167" s="104"/>
      <c r="U167" s="104"/>
      <c r="V167" s="104"/>
      <c r="W167" s="104"/>
      <c r="X167" s="104"/>
      <c r="Y167" s="104"/>
      <c r="Z167" s="104"/>
      <c r="AA167" s="104"/>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537"/>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4"/>
      <c r="T168" s="104"/>
      <c r="U168" s="104"/>
      <c r="V168" s="104"/>
      <c r="W168" s="104"/>
      <c r="X168" s="104"/>
      <c r="Y168" s="104"/>
      <c r="Z168" s="104"/>
      <c r="AA168" s="104"/>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37"/>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4"/>
      <c r="T169" s="104"/>
      <c r="U169" s="104"/>
      <c r="V169" s="104"/>
      <c r="W169" s="104"/>
      <c r="X169" s="104"/>
      <c r="Y169" s="104"/>
      <c r="Z169" s="104"/>
      <c r="AA169" s="104"/>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37"/>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4"/>
      <c r="T170" s="104"/>
      <c r="U170" s="104"/>
      <c r="V170" s="104"/>
      <c r="W170" s="104"/>
      <c r="X170" s="104"/>
      <c r="Y170" s="104"/>
      <c r="Z170" s="104"/>
      <c r="AA170" s="104"/>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37"/>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4"/>
      <c r="T171" s="104"/>
      <c r="U171" s="104"/>
      <c r="V171" s="104"/>
      <c r="W171" s="104"/>
      <c r="X171" s="104"/>
      <c r="Y171" s="104"/>
      <c r="Z171" s="104"/>
      <c r="AA171" s="104"/>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37"/>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8"/>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536" t="s">
        <v>86</v>
      </c>
      <c r="F175" s="87">
        <v>0</v>
      </c>
      <c r="G175" s="124"/>
      <c r="H175" s="69"/>
      <c r="I175" s="69"/>
      <c r="J175" s="69"/>
      <c r="K175" s="69"/>
      <c r="L175" s="69"/>
      <c r="M175" s="166"/>
      <c r="N175" s="113"/>
      <c r="O175" s="69"/>
      <c r="P175" s="69"/>
      <c r="Q175" s="69"/>
      <c r="R175" s="69"/>
      <c r="S175" s="104"/>
      <c r="T175" s="104"/>
      <c r="U175" s="104"/>
      <c r="V175" s="104"/>
      <c r="W175" s="104"/>
      <c r="X175" s="104"/>
      <c r="Y175" s="104"/>
      <c r="Z175" s="104"/>
      <c r="AA175" s="104"/>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37"/>
      <c r="F176" s="87">
        <v>1</v>
      </c>
      <c r="G176" s="124"/>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37"/>
      <c r="F177" s="87">
        <v>2</v>
      </c>
      <c r="G177" s="124"/>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37"/>
      <c r="F178" s="87">
        <v>3</v>
      </c>
      <c r="G178" s="124"/>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537"/>
      <c r="F179" s="87">
        <v>4</v>
      </c>
      <c r="G179" s="124"/>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537"/>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537"/>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37"/>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37"/>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37"/>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37"/>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8"/>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536" t="s">
        <v>86</v>
      </c>
      <c r="F188" s="87">
        <v>0</v>
      </c>
      <c r="G188" s="124"/>
      <c r="H188" s="69"/>
      <c r="I188" s="69"/>
      <c r="J188" s="69"/>
      <c r="K188" s="69"/>
      <c r="L188" s="69"/>
      <c r="M188" s="166"/>
      <c r="N188" s="113"/>
      <c r="O188" s="69"/>
      <c r="P188" s="69"/>
      <c r="Q188" s="69"/>
      <c r="R188" s="69"/>
      <c r="S188" s="104"/>
      <c r="T188" s="104"/>
      <c r="U188" s="104"/>
      <c r="V188" s="104"/>
      <c r="W188" s="104"/>
      <c r="X188" s="104"/>
      <c r="Y188" s="104"/>
      <c r="Z188" s="104"/>
      <c r="AA188" s="104"/>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37"/>
      <c r="F189" s="87">
        <v>1</v>
      </c>
      <c r="G189" s="124"/>
      <c r="H189" s="148"/>
      <c r="I189" s="69" t="str">
        <f>IF(A12stdlife="n/a","n/a",IF(I$3&gt;(A12stdlife+$F189),(Input!$H$154*(1+vanilla1)^0.5)-SUM($H189:H189),(Input!$H$154*(1+vanilla1)^0.5)/A12stdlife))</f>
        <v>n/a</v>
      </c>
      <c r="J189" s="69" t="str">
        <f>IF(A12stdlife="n/a","n/a",IF(J$3&gt;(A12stdlife+$F189),(Input!$H$154*(1+vanilla1)^0.5)-SUM($H189:I189),(Input!$H$154*(1+vanilla1)^0.5)/A12stdlife))</f>
        <v>n/a</v>
      </c>
      <c r="K189" s="69" t="str">
        <f>IF(A12stdlife="n/a","n/a",IF(K$3&gt;(A12stdlife+$F189),(Input!$H$154*(1+vanilla1)^0.5)-SUM($H189:J189),(Input!$H$154*(1+vanilla1)^0.5)/A12stdlife))</f>
        <v>n/a</v>
      </c>
      <c r="L189" s="69" t="str">
        <f>IF(A12stdlife="n/a","n/a",IF(L$3&gt;(A12stdlife+$F189),(Input!$H$154*(1+vanilla1)^0.5)-SUM($H189:K189),(Input!$H$154*(1+vanilla1)^0.5)/A12stdlife))</f>
        <v>n/a</v>
      </c>
      <c r="M189" s="69" t="str">
        <f>IF(A12stdlife="n/a","n/a",IF(M$3&gt;(A12stdlife+$F189),(Input!$H$154*(1+vanilla1)^0.5)-SUM($H189:L189),(Input!$H$154*(1+vanilla1)^0.5)/A12stdlife))</f>
        <v>n/a</v>
      </c>
      <c r="N189" s="69" t="str">
        <f>IF(A12stdlife="n/a","n/a",IF(N$3&gt;(A12stdlife+$F189),(Input!$H$154*(1+vanilla1)^0.5)-SUM($H189:M189),(Input!$H$154*(1+vanilla1)^0.5)/A12stdlife))</f>
        <v>n/a</v>
      </c>
      <c r="O189" s="69" t="str">
        <f>IF(A12stdlife="n/a","n/a",IF(O$3&gt;(A12stdlife+$F189),(Input!$H$154*(1+vanilla1)^0.5)-SUM($H189:N189),(Input!$H$154*(1+vanilla1)^0.5)/A12stdlife))</f>
        <v>n/a</v>
      </c>
      <c r="P189" s="69" t="str">
        <f>IF(A12stdlife="n/a","n/a",IF(P$3&gt;(A12stdlife+$F189),(Input!$H$154*(1+vanilla1)^0.5)-SUM($H189:O189),(Input!$H$154*(1+vanilla1)^0.5)/A12stdlife))</f>
        <v>n/a</v>
      </c>
      <c r="Q189" s="69" t="str">
        <f>IF(A12stdlife="n/a","n/a",IF(Q$3&gt;(A12stdlife+$F189),(Input!$H$154*(1+vanilla1)^0.5)-SUM($H189:P189),(Input!$H$154*(1+vanilla1)^0.5)/A12stdlife))</f>
        <v>n/a</v>
      </c>
      <c r="R189" s="69"/>
      <c r="S189" s="104"/>
      <c r="T189" s="104"/>
      <c r="U189" s="104"/>
      <c r="V189" s="104"/>
      <c r="W189" s="104"/>
      <c r="X189" s="104"/>
      <c r="Y189" s="104"/>
      <c r="Z189" s="104"/>
      <c r="AA189" s="104"/>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37"/>
      <c r="F190" s="87">
        <v>2</v>
      </c>
      <c r="G190" s="124"/>
      <c r="H190" s="149"/>
      <c r="I190" s="150"/>
      <c r="J190" s="69" t="str">
        <f>IF(A12stdlife="n/a","n/a",IF(J$3&gt;(A12stdlife+$F190),(Input!$I$154*(1+vanilla2)^0.5)-SUM($I190:I190),(Input!$I$154*(1+vanilla2)^0.5)/A12stdlife))</f>
        <v>n/a</v>
      </c>
      <c r="K190" s="69" t="str">
        <f>IF(A12stdlife="n/a","n/a",IF(K$3&gt;(A12stdlife+$F190),(Input!$I$154*(1+vanilla2)^0.5)-SUM($I190:J190),(Input!$I$154*(1+vanilla2)^0.5)/A12stdlife))</f>
        <v>n/a</v>
      </c>
      <c r="L190" s="69" t="str">
        <f>IF(A12stdlife="n/a","n/a",IF(L$3&gt;(A12stdlife+$F190),(Input!$I$154*(1+vanilla2)^0.5)-SUM($I190:K190),(Input!$I$154*(1+vanilla2)^0.5)/A12stdlife))</f>
        <v>n/a</v>
      </c>
      <c r="M190" s="69" t="str">
        <f>IF(A12stdlife="n/a","n/a",IF(M$3&gt;(A12stdlife+$F190),(Input!$I$154*(1+vanilla2)^0.5)-SUM($I190:L190),(Input!$I$154*(1+vanilla2)^0.5)/A12stdlife))</f>
        <v>n/a</v>
      </c>
      <c r="N190" s="69" t="str">
        <f>IF(A12stdlife="n/a","n/a",IF(N$3&gt;(A12stdlife+$F190),(Input!$I$154*(1+vanilla2)^0.5)-SUM($I190:M190),(Input!$I$154*(1+vanilla2)^0.5)/A12stdlife))</f>
        <v>n/a</v>
      </c>
      <c r="O190" s="69" t="str">
        <f>IF(A12stdlife="n/a","n/a",IF(O$3&gt;(A12stdlife+$F190),(Input!$I$154*(1+vanilla2)^0.5)-SUM($I190:N190),(Input!$I$154*(1+vanilla2)^0.5)/A12stdlife))</f>
        <v>n/a</v>
      </c>
      <c r="P190" s="69" t="str">
        <f>IF(A12stdlife="n/a","n/a",IF(P$3&gt;(A12stdlife+$F190),(Input!$I$154*(1+vanilla2)^0.5)-SUM($I190:O190),(Input!$I$154*(1+vanilla2)^0.5)/A12stdlife))</f>
        <v>n/a</v>
      </c>
      <c r="Q190" s="69" t="str">
        <f>IF(A12stdlife="n/a","n/a",IF(Q$3&gt;(A12stdlife+$F190),(Input!$I$154*(1+vanilla2)^0.5)-SUM($I190:P190),(Input!$I$154*(1+vanilla2)^0.5)/A12stdlife))</f>
        <v>n/a</v>
      </c>
      <c r="R190" s="69"/>
      <c r="S190" s="104"/>
      <c r="T190" s="104"/>
      <c r="U190" s="104"/>
      <c r="V190" s="104"/>
      <c r="W190" s="104"/>
      <c r="X190" s="104"/>
      <c r="Y190" s="104"/>
      <c r="Z190" s="104"/>
      <c r="AA190" s="104"/>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37"/>
      <c r="F191" s="87">
        <v>3</v>
      </c>
      <c r="G191" s="124"/>
      <c r="H191" s="149"/>
      <c r="I191" s="151"/>
      <c r="J191" s="150"/>
      <c r="K191" s="69" t="str">
        <f>IF(A12stdlife="n/a","n/a",IF(K$3&gt;(A12stdlife+$F191),(Input!$J$154*(1+vanilla3)^0.5)-SUM($J191:J191),(Input!$J$154*(1+vanilla3)^0.5)/A12stdlife))</f>
        <v>n/a</v>
      </c>
      <c r="L191" s="69" t="str">
        <f>IF(A12stdlife="n/a","n/a",IF(L$3&gt;(A12stdlife+$F191),(Input!$J$154*(1+vanilla3)^0.5)-SUM($J191:K191),(Input!$J$154*(1+vanilla3)^0.5)/A12stdlife))</f>
        <v>n/a</v>
      </c>
      <c r="M191" s="69" t="str">
        <f>IF(A12stdlife="n/a","n/a",IF(M$3&gt;(A12stdlife+$F191),(Input!$J$154*(1+vanilla3)^0.5)-SUM($J191:L191),(Input!$J$154*(1+vanilla3)^0.5)/A12stdlife))</f>
        <v>n/a</v>
      </c>
      <c r="N191" s="69" t="str">
        <f>IF(A12stdlife="n/a","n/a",IF(N$3&gt;(A12stdlife+$F191),(Input!$J$154*(1+vanilla3)^0.5)-SUM($J191:M191),(Input!$J$154*(1+vanilla3)^0.5)/A12stdlife))</f>
        <v>n/a</v>
      </c>
      <c r="O191" s="69" t="str">
        <f>IF(A12stdlife="n/a","n/a",IF(O$3&gt;(A12stdlife+$F191),(Input!$J$154*(1+vanilla3)^0.5)-SUM($J191:N191),(Input!$J$154*(1+vanilla3)^0.5)/A12stdlife))</f>
        <v>n/a</v>
      </c>
      <c r="P191" s="69" t="str">
        <f>IF(A12stdlife="n/a","n/a",IF(P$3&gt;(A12stdlife+$F191),(Input!$J$154*(1+vanilla3)^0.5)-SUM($J191:O191),(Input!$J$154*(1+vanilla3)^0.5)/A12stdlife))</f>
        <v>n/a</v>
      </c>
      <c r="Q191" s="69" t="str">
        <f>IF(A12stdlife="n/a","n/a",IF(Q$3&gt;(A12stdlife+$F191),(Input!$J$154*(1+vanilla3)^0.5)-SUM($J191:P191),(Input!$J$154*(1+vanilla3)^0.5)/A12stdlife))</f>
        <v>n/a</v>
      </c>
      <c r="R191" s="69"/>
      <c r="S191" s="104"/>
      <c r="T191" s="104"/>
      <c r="U191" s="104"/>
      <c r="V191" s="104"/>
      <c r="W191" s="104"/>
      <c r="X191" s="104"/>
      <c r="Y191" s="104"/>
      <c r="Z191" s="104"/>
      <c r="AA191" s="104"/>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537"/>
      <c r="F192" s="87">
        <v>4</v>
      </c>
      <c r="G192" s="124"/>
      <c r="H192" s="149"/>
      <c r="I192" s="151"/>
      <c r="J192" s="151"/>
      <c r="K192" s="150"/>
      <c r="L192" s="69" t="str">
        <f>IF(A12stdlife="n/a","n/a",IF(L$3&gt;(A12stdlife+$F192),(Input!$K$154*(1+vanilla4)^0.5)-SUM($K192:K192),(Input!$K$154*(1+vanilla4)^0.5)/A12stdlife))</f>
        <v>n/a</v>
      </c>
      <c r="M192" s="69" t="str">
        <f>IF(A12stdlife="n/a","n/a",IF(M$3&gt;(A12stdlife+$F192),(Input!$K$154*(1+vanilla4)^0.5)-SUM($K192:L192),(Input!$K$154*(1+vanilla4)^0.5)/A12stdlife))</f>
        <v>n/a</v>
      </c>
      <c r="N192" s="69" t="str">
        <f>IF(A12stdlife="n/a","n/a",IF(N$3&gt;(A12stdlife+$F192),(Input!$K$154*(1+vanilla4)^0.5)-SUM($K192:M192),(Input!$K$154*(1+vanilla4)^0.5)/A12stdlife))</f>
        <v>n/a</v>
      </c>
      <c r="O192" s="69" t="str">
        <f>IF(A12stdlife="n/a","n/a",IF(O$3&gt;(A12stdlife+$F192),(Input!$K$154*(1+vanilla4)^0.5)-SUM($K192:N192),(Input!$K$154*(1+vanilla4)^0.5)/A12stdlife))</f>
        <v>n/a</v>
      </c>
      <c r="P192" s="69" t="str">
        <f>IF(A12stdlife="n/a","n/a",IF(P$3&gt;(A12stdlife+$F192),(Input!$K$154*(1+vanilla4)^0.5)-SUM($K192:O192),(Input!$K$154*(1+vanilla4)^0.5)/A12stdlife))</f>
        <v>n/a</v>
      </c>
      <c r="Q192" s="69" t="str">
        <f>IF(A12stdlife="n/a","n/a",IF(Q$3&gt;(A12stdlife+$F192),(Input!$K$154*(1+vanilla4)^0.5)-SUM($K192:P192),(Input!$K$154*(1+vanilla4)^0.5)/A12stdlife))</f>
        <v>n/a</v>
      </c>
      <c r="R192" s="69"/>
      <c r="S192" s="104"/>
      <c r="T192" s="104"/>
      <c r="U192" s="104"/>
      <c r="V192" s="104"/>
      <c r="W192" s="104"/>
      <c r="X192" s="104"/>
      <c r="Y192" s="104"/>
      <c r="Z192" s="104"/>
      <c r="AA192" s="104"/>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537"/>
      <c r="F193" s="87">
        <v>5</v>
      </c>
      <c r="G193" s="27"/>
      <c r="H193" s="149"/>
      <c r="I193" s="151"/>
      <c r="J193" s="151"/>
      <c r="K193" s="151"/>
      <c r="L193" s="150"/>
      <c r="M193" s="69" t="str">
        <f>IF(A12stdlife="n/a","n/a",IF(M$3&gt;(A12stdlife+$F193),(Input!$L$154*(1+vanilla5)^0.5)-SUM($L193:L193),(Input!$L$154*(1+vanilla5)^0.5)/A12stdlife))</f>
        <v>n/a</v>
      </c>
      <c r="N193" s="69" t="str">
        <f>IF(A12stdlife="n/a","n/a",IF(N$3&gt;(A12stdlife+$F193),(Input!$L$154*(1+vanilla5)^0.5)-SUM($L193:M193),(Input!$L$154*(1+vanilla5)^0.5)/A12stdlife))</f>
        <v>n/a</v>
      </c>
      <c r="O193" s="69" t="str">
        <f>IF(A12stdlife="n/a","n/a",IF(O$3&gt;(A12stdlife+$F193),(Input!$L$154*(1+vanilla5)^0.5)-SUM($L193:N193),(Input!$L$154*(1+vanilla5)^0.5)/A12stdlife))</f>
        <v>n/a</v>
      </c>
      <c r="P193" s="69" t="str">
        <f>IF(A12stdlife="n/a","n/a",IF(P$3&gt;(A12stdlife+$F193),(Input!$L$154*(1+vanilla5)^0.5)-SUM($L193:O193),(Input!$L$154*(1+vanilla5)^0.5)/A12stdlife))</f>
        <v>n/a</v>
      </c>
      <c r="Q193" s="69" t="str">
        <f>IF(A12stdlife="n/a","n/a",IF(Q$3&gt;(A12stdlife+$F193),(Input!$L$154*(1+vanilla5)^0.5)-SUM($L193:P193),(Input!$L$154*(1+vanilla5)^0.5)/A12stdlife))</f>
        <v>n/a</v>
      </c>
      <c r="R193" s="69"/>
      <c r="S193" s="104"/>
      <c r="T193" s="104"/>
      <c r="U193" s="104"/>
      <c r="V193" s="104"/>
      <c r="W193" s="104"/>
      <c r="X193" s="104"/>
      <c r="Y193" s="104"/>
      <c r="Z193" s="104"/>
      <c r="AA193" s="104"/>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537"/>
      <c r="F194" s="87">
        <v>6</v>
      </c>
      <c r="G194" s="27"/>
      <c r="H194" s="149"/>
      <c r="I194" s="151"/>
      <c r="J194" s="151"/>
      <c r="K194" s="151"/>
      <c r="L194" s="151"/>
      <c r="M194" s="150"/>
      <c r="N194" s="69" t="str">
        <f>IF(A12stdlife="n/a","n/a",IF(N$3&gt;(A12stdlife+$F194),(Input!$M$154*(1+vanilla6)^0.5)-SUM($M194:M194),(Input!$M$154*(1+vanilla6)^0.5)/A12stdlife))</f>
        <v>n/a</v>
      </c>
      <c r="O194" s="69" t="str">
        <f>IF(A12stdlife="n/a","n/a",IF(O$3&gt;(A12stdlife+$F194),(Input!$M$154*(1+vanilla6)^0.5)-SUM($M194:N194),(Input!$M$154*(1+vanilla6)^0.5)/A12stdlife))</f>
        <v>n/a</v>
      </c>
      <c r="P194" s="69" t="str">
        <f>IF(A12stdlife="n/a","n/a",IF(P$3&gt;(A12stdlife+$F194),(Input!$M$154*(1+vanilla6)^0.5)-SUM($M194:O194),(Input!$M$154*(1+vanilla6)^0.5)/A12stdlife))</f>
        <v>n/a</v>
      </c>
      <c r="Q194" s="69" t="str">
        <f>IF(A12stdlife="n/a","n/a",IF(Q$3&gt;(A12stdlife+$F194),(Input!$M$154*(1+vanilla6)^0.5)-SUM($M194:P194),(Input!$M$154*(1+vanilla6)^0.5)/A12stdlife))</f>
        <v>n/a</v>
      </c>
      <c r="R194" s="69"/>
      <c r="S194" s="104"/>
      <c r="T194" s="104"/>
      <c r="U194" s="104"/>
      <c r="V194" s="104"/>
      <c r="W194" s="104"/>
      <c r="X194" s="104"/>
      <c r="Y194" s="104"/>
      <c r="Z194" s="104"/>
      <c r="AA194" s="104"/>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37"/>
      <c r="F195" s="87">
        <v>7</v>
      </c>
      <c r="G195" s="27"/>
      <c r="H195" s="149"/>
      <c r="I195" s="151"/>
      <c r="J195" s="151"/>
      <c r="K195" s="151"/>
      <c r="L195" s="151"/>
      <c r="M195" s="151"/>
      <c r="N195" s="150"/>
      <c r="O195" s="69" t="str">
        <f>IF(A12stdlife="n/a","n/a",IF(O$3&gt;(A12stdlife+$F195),(Input!$N$154*(1+vanilla7)^0.5)-SUM($N195:N195),(Input!$N$154*(1+vanilla7)^0.5)/A12stdlife))</f>
        <v>n/a</v>
      </c>
      <c r="P195" s="69" t="str">
        <f>IF(A12stdlife="n/a","n/a",IF(P$3&gt;(A12stdlife+$F195),(Input!$N$154*(1+vanilla7)^0.5)-SUM($N195:O195),(Input!$N$154*(1+vanilla7)^0.5)/A12stdlife))</f>
        <v>n/a</v>
      </c>
      <c r="Q195" s="69" t="str">
        <f>IF(A12stdlife="n/a","n/a",IF(Q$3&gt;(A12stdlife+$F195),(Input!$N$154*(1+vanilla7)^0.5)-SUM($N195:P195),(Input!$N$154*(1+vanilla7)^0.5)/A12stdlife))</f>
        <v>n/a</v>
      </c>
      <c r="R195" s="69"/>
      <c r="S195" s="104"/>
      <c r="T195" s="104"/>
      <c r="U195" s="104"/>
      <c r="V195" s="104"/>
      <c r="W195" s="104"/>
      <c r="X195" s="104"/>
      <c r="Y195" s="104"/>
      <c r="Z195" s="104"/>
      <c r="AA195" s="104"/>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37"/>
      <c r="F196" s="87">
        <v>8</v>
      </c>
      <c r="G196" s="27"/>
      <c r="H196" s="149"/>
      <c r="I196" s="151"/>
      <c r="J196" s="151"/>
      <c r="K196" s="151"/>
      <c r="L196" s="151"/>
      <c r="M196" s="151"/>
      <c r="N196" s="151"/>
      <c r="O196" s="150"/>
      <c r="P196" s="69" t="str">
        <f>IF(A12stdlife="n/a","n/a",IF(P$3&gt;(A12stdlife+$F196),(Input!$O$154*(1+vanilla8)^0.5)-SUM($O196:O196),(Input!$O$154*(1+vanilla8)^0.5)/A12stdlife))</f>
        <v>n/a</v>
      </c>
      <c r="Q196" s="69" t="str">
        <f>IF(A12stdlife="n/a","n/a",IF(Q$3&gt;(A12stdlife+$F196),(Input!$O$154*(1+vanilla8)^0.5)-SUM($O196:P196),(Input!$O$154*(1+vanilla8)^0.5)/A12stdlife))</f>
        <v>n/a</v>
      </c>
      <c r="R196" s="69"/>
      <c r="S196" s="104"/>
      <c r="T196" s="104"/>
      <c r="U196" s="104"/>
      <c r="V196" s="104"/>
      <c r="W196" s="104"/>
      <c r="X196" s="104"/>
      <c r="Y196" s="104"/>
      <c r="Z196" s="104"/>
      <c r="AA196" s="104"/>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37"/>
      <c r="F197" s="87">
        <v>9</v>
      </c>
      <c r="G197" s="27"/>
      <c r="H197" s="149"/>
      <c r="I197" s="151"/>
      <c r="J197" s="151"/>
      <c r="K197" s="151"/>
      <c r="L197" s="151"/>
      <c r="M197" s="151"/>
      <c r="N197" s="151"/>
      <c r="O197" s="151"/>
      <c r="P197" s="150"/>
      <c r="Q197" s="69" t="str">
        <f>IF(A12stdlife="n/a","n/a",IF(Q$3&gt;(A12stdlife+$F197),(Input!$P$154*(1+vanilla9)^0.5)-SUM($P197:P197),(Input!$P$154*(1+vanilla9)^0.5)/A12stdlife))</f>
        <v>n/a</v>
      </c>
      <c r="R197" s="69"/>
      <c r="S197" s="104"/>
      <c r="T197" s="104"/>
      <c r="U197" s="104"/>
      <c r="V197" s="104"/>
      <c r="W197" s="104"/>
      <c r="X197" s="104"/>
      <c r="Y197" s="104"/>
      <c r="Z197" s="104"/>
      <c r="AA197" s="104"/>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37"/>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8"/>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536" t="s">
        <v>86</v>
      </c>
      <c r="F201" s="87">
        <v>0</v>
      </c>
      <c r="G201" s="124"/>
      <c r="H201" s="69"/>
      <c r="I201" s="69"/>
      <c r="J201" s="69"/>
      <c r="K201" s="69"/>
      <c r="L201" s="69"/>
      <c r="M201" s="166"/>
      <c r="N201" s="113"/>
      <c r="O201" s="69"/>
      <c r="P201" s="69"/>
      <c r="Q201" s="69"/>
      <c r="R201" s="69"/>
      <c r="S201" s="104"/>
      <c r="T201" s="104"/>
      <c r="U201" s="104"/>
      <c r="V201" s="104"/>
      <c r="W201" s="104"/>
      <c r="X201" s="104"/>
      <c r="Y201" s="104"/>
      <c r="Z201" s="104"/>
      <c r="AA201" s="104"/>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37"/>
      <c r="F202" s="87">
        <v>1</v>
      </c>
      <c r="G202" s="124"/>
      <c r="H202" s="148"/>
      <c r="I202" s="69" t="str">
        <f>IF(A13stdlife="n/a","n/a",IF(I$3&gt;(A13stdlife+$F202),(Input!$H$155*(1+vanilla1)^0.5)-SUM($H202:H202),(Input!$H$155*(1+vanilla1)^0.5)/A13stdlife))</f>
        <v>n/a</v>
      </c>
      <c r="J202" s="69" t="str">
        <f>IF(A13stdlife="n/a","n/a",IF(J$3&gt;(A13stdlife+$F202),(Input!$H$155*(1+vanilla1)^0.5)-SUM($H202:I202),(Input!$H$155*(1+vanilla1)^0.5)/A13stdlife))</f>
        <v>n/a</v>
      </c>
      <c r="K202" s="69" t="str">
        <f>IF(A13stdlife="n/a","n/a",IF(K$3&gt;(A13stdlife+$F202),(Input!$H$155*(1+vanilla1)^0.5)-SUM($H202:J202),(Input!$H$155*(1+vanilla1)^0.5)/A13stdlife))</f>
        <v>n/a</v>
      </c>
      <c r="L202" s="69" t="str">
        <f>IF(A13stdlife="n/a","n/a",IF(L$3&gt;(A13stdlife+$F202),(Input!$H$155*(1+vanilla1)^0.5)-SUM($H202:K202),(Input!$H$155*(1+vanilla1)^0.5)/A13stdlife))</f>
        <v>n/a</v>
      </c>
      <c r="M202" s="69" t="str">
        <f>IF(A13stdlife="n/a","n/a",IF(M$3&gt;(A13stdlife+$F202),(Input!$H$155*(1+vanilla1)^0.5)-SUM($H202:L202),(Input!$H$155*(1+vanilla1)^0.5)/A13stdlife))</f>
        <v>n/a</v>
      </c>
      <c r="N202" s="69" t="str">
        <f>IF(A13stdlife="n/a","n/a",IF(N$3&gt;(A13stdlife+$F202),(Input!$H$155*(1+vanilla1)^0.5)-SUM($H202:M202),(Input!$H$155*(1+vanilla1)^0.5)/A13stdlife))</f>
        <v>n/a</v>
      </c>
      <c r="O202" s="69" t="str">
        <f>IF(A13stdlife="n/a","n/a",IF(O$3&gt;(A13stdlife+$F202),(Input!$H$155*(1+vanilla1)^0.5)-SUM($H202:N202),(Input!$H$155*(1+vanilla1)^0.5)/A13stdlife))</f>
        <v>n/a</v>
      </c>
      <c r="P202" s="69" t="str">
        <f>IF(A13stdlife="n/a","n/a",IF(P$3&gt;(A13stdlife+$F202),(Input!$H$155*(1+vanilla1)^0.5)-SUM($H202:O202),(Input!$H$155*(1+vanilla1)^0.5)/A13stdlife))</f>
        <v>n/a</v>
      </c>
      <c r="Q202" s="69" t="str">
        <f>IF(A13stdlife="n/a","n/a",IF(Q$3&gt;(A13stdlife+$F202),(Input!$H$155*(1+vanilla1)^0.5)-SUM($H202:P202),(Input!$H$155*(1+vanilla1)^0.5)/A13stdlife))</f>
        <v>n/a</v>
      </c>
      <c r="R202" s="69"/>
      <c r="S202" s="104"/>
      <c r="T202" s="104"/>
      <c r="U202" s="104"/>
      <c r="V202" s="104"/>
      <c r="W202" s="104"/>
      <c r="X202" s="104"/>
      <c r="Y202" s="104"/>
      <c r="Z202" s="104"/>
      <c r="AA202" s="104"/>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37"/>
      <c r="F203" s="87">
        <v>2</v>
      </c>
      <c r="G203" s="124"/>
      <c r="H203" s="149"/>
      <c r="I203" s="150"/>
      <c r="J203" s="69" t="str">
        <f>IF(A13stdlife="n/a","n/a",IF(J$3&gt;(A13stdlife+$F203),(Input!$I$155*(1+vanilla2)^0.5)-SUM($I203:I203),(Input!$I$155*(1+vanilla2)^0.5)/A13stdlife))</f>
        <v>n/a</v>
      </c>
      <c r="K203" s="69" t="str">
        <f>IF(A13stdlife="n/a","n/a",IF(K$3&gt;(A13stdlife+$F203),(Input!$I$155*(1+vanilla2)^0.5)-SUM($I203:J203),(Input!$I$155*(1+vanilla2)^0.5)/A13stdlife))</f>
        <v>n/a</v>
      </c>
      <c r="L203" s="69" t="str">
        <f>IF(A13stdlife="n/a","n/a",IF(L$3&gt;(A13stdlife+$F203),(Input!$I$155*(1+vanilla2)^0.5)-SUM($I203:K203),(Input!$I$155*(1+vanilla2)^0.5)/A13stdlife))</f>
        <v>n/a</v>
      </c>
      <c r="M203" s="69" t="str">
        <f>IF(A13stdlife="n/a","n/a",IF(M$3&gt;(A13stdlife+$F203),(Input!$I$155*(1+vanilla2)^0.5)-SUM($I203:L203),(Input!$I$155*(1+vanilla2)^0.5)/A13stdlife))</f>
        <v>n/a</v>
      </c>
      <c r="N203" s="69" t="str">
        <f>IF(A13stdlife="n/a","n/a",IF(N$3&gt;(A13stdlife+$F203),(Input!$I$155*(1+vanilla2)^0.5)-SUM($I203:M203),(Input!$I$155*(1+vanilla2)^0.5)/A13stdlife))</f>
        <v>n/a</v>
      </c>
      <c r="O203" s="69" t="str">
        <f>IF(A13stdlife="n/a","n/a",IF(O$3&gt;(A13stdlife+$F203),(Input!$I$155*(1+vanilla2)^0.5)-SUM($I203:N203),(Input!$I$155*(1+vanilla2)^0.5)/A13stdlife))</f>
        <v>n/a</v>
      </c>
      <c r="P203" s="69" t="str">
        <f>IF(A13stdlife="n/a","n/a",IF(P$3&gt;(A13stdlife+$F203),(Input!$I$155*(1+vanilla2)^0.5)-SUM($I203:O203),(Input!$I$155*(1+vanilla2)^0.5)/A13stdlife))</f>
        <v>n/a</v>
      </c>
      <c r="Q203" s="69" t="str">
        <f>IF(A13stdlife="n/a","n/a",IF(Q$3&gt;(A13stdlife+$F203),(Input!$I$155*(1+vanilla2)^0.5)-SUM($I203:P203),(Input!$I$155*(1+vanilla2)^0.5)/A13stdlife))</f>
        <v>n/a</v>
      </c>
      <c r="R203" s="69"/>
      <c r="S203" s="104"/>
      <c r="T203" s="104"/>
      <c r="U203" s="104"/>
      <c r="V203" s="104"/>
      <c r="W203" s="104"/>
      <c r="X203" s="104"/>
      <c r="Y203" s="104"/>
      <c r="Z203" s="104"/>
      <c r="AA203" s="104"/>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37"/>
      <c r="F204" s="87">
        <v>3</v>
      </c>
      <c r="G204" s="124"/>
      <c r="H204" s="149"/>
      <c r="I204" s="151"/>
      <c r="J204" s="150"/>
      <c r="K204" s="69" t="str">
        <f>IF(A13stdlife="n/a","n/a",IF(K$3&gt;(A13stdlife+$F204),(Input!$J$155*(1+vanilla3)^0.5)-SUM($J204:J204),(Input!$J$155*(1+vanilla3)^0.5)/A13stdlife))</f>
        <v>n/a</v>
      </c>
      <c r="L204" s="69" t="str">
        <f>IF(A13stdlife="n/a","n/a",IF(L$3&gt;(A13stdlife+$F204),(Input!$J$155*(1+vanilla3)^0.5)-SUM($J204:K204),(Input!$J$155*(1+vanilla3)^0.5)/A13stdlife))</f>
        <v>n/a</v>
      </c>
      <c r="M204" s="69" t="str">
        <f>IF(A13stdlife="n/a","n/a",IF(M$3&gt;(A13stdlife+$F204),(Input!$J$155*(1+vanilla3)^0.5)-SUM($J204:L204),(Input!$J$155*(1+vanilla3)^0.5)/A13stdlife))</f>
        <v>n/a</v>
      </c>
      <c r="N204" s="69" t="str">
        <f>IF(A13stdlife="n/a","n/a",IF(N$3&gt;(A13stdlife+$F204),(Input!$J$155*(1+vanilla3)^0.5)-SUM($J204:M204),(Input!$J$155*(1+vanilla3)^0.5)/A13stdlife))</f>
        <v>n/a</v>
      </c>
      <c r="O204" s="69" t="str">
        <f>IF(A13stdlife="n/a","n/a",IF(O$3&gt;(A13stdlife+$F204),(Input!$J$155*(1+vanilla3)^0.5)-SUM($J204:N204),(Input!$J$155*(1+vanilla3)^0.5)/A13stdlife))</f>
        <v>n/a</v>
      </c>
      <c r="P204" s="69" t="str">
        <f>IF(A13stdlife="n/a","n/a",IF(P$3&gt;(A13stdlife+$F204),(Input!$J$155*(1+vanilla3)^0.5)-SUM($J204:O204),(Input!$J$155*(1+vanilla3)^0.5)/A13stdlife))</f>
        <v>n/a</v>
      </c>
      <c r="Q204" s="69" t="str">
        <f>IF(A13stdlife="n/a","n/a",IF(Q$3&gt;(A13stdlife+$F204),(Input!$J$155*(1+vanilla3)^0.5)-SUM($J204:P204),(Input!$J$155*(1+vanilla3)^0.5)/A13stdlife))</f>
        <v>n/a</v>
      </c>
      <c r="R204" s="69"/>
      <c r="S204" s="104"/>
      <c r="T204" s="104"/>
      <c r="U204" s="104"/>
      <c r="V204" s="104"/>
      <c r="W204" s="104"/>
      <c r="X204" s="104"/>
      <c r="Y204" s="104"/>
      <c r="Z204" s="104"/>
      <c r="AA204" s="104"/>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537"/>
      <c r="F205" s="87">
        <v>4</v>
      </c>
      <c r="G205" s="124"/>
      <c r="H205" s="149"/>
      <c r="I205" s="151"/>
      <c r="J205" s="151"/>
      <c r="K205" s="150"/>
      <c r="L205" s="69" t="str">
        <f>IF(A13stdlife="n/a","n/a",IF(L$3&gt;(A13stdlife+$F205),(Input!$K$155*(1+vanilla4)^0.5)-SUM($K205:K205),(Input!$K$155*(1+vanilla4)^0.5)/A13stdlife))</f>
        <v>n/a</v>
      </c>
      <c r="M205" s="69" t="str">
        <f>IF(A13stdlife="n/a","n/a",IF(M$3&gt;(A13stdlife+$F205),(Input!$K$155*(1+vanilla4)^0.5)-SUM($K205:L205),(Input!$K$155*(1+vanilla4)^0.5)/A13stdlife))</f>
        <v>n/a</v>
      </c>
      <c r="N205" s="69" t="str">
        <f>IF(A13stdlife="n/a","n/a",IF(N$3&gt;(A13stdlife+$F205),(Input!$K$155*(1+vanilla4)^0.5)-SUM($K205:M205),(Input!$K$155*(1+vanilla4)^0.5)/A13stdlife))</f>
        <v>n/a</v>
      </c>
      <c r="O205" s="69" t="str">
        <f>IF(A13stdlife="n/a","n/a",IF(O$3&gt;(A13stdlife+$F205),(Input!$K$155*(1+vanilla4)^0.5)-SUM($K205:N205),(Input!$K$155*(1+vanilla4)^0.5)/A13stdlife))</f>
        <v>n/a</v>
      </c>
      <c r="P205" s="69" t="str">
        <f>IF(A13stdlife="n/a","n/a",IF(P$3&gt;(A13stdlife+$F205),(Input!$K$155*(1+vanilla4)^0.5)-SUM($K205:O205),(Input!$K$155*(1+vanilla4)^0.5)/A13stdlife))</f>
        <v>n/a</v>
      </c>
      <c r="Q205" s="69" t="str">
        <f>IF(A13stdlife="n/a","n/a",IF(Q$3&gt;(A13stdlife+$F205),(Input!$K$155*(1+vanilla4)^0.5)-SUM($K205:P205),(Input!$K$155*(1+vanilla4)^0.5)/A13stdlife))</f>
        <v>n/a</v>
      </c>
      <c r="R205" s="69"/>
      <c r="S205" s="104"/>
      <c r="T205" s="104"/>
      <c r="U205" s="104"/>
      <c r="V205" s="104"/>
      <c r="W205" s="104"/>
      <c r="X205" s="104"/>
      <c r="Y205" s="104"/>
      <c r="Z205" s="104"/>
      <c r="AA205" s="104"/>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537"/>
      <c r="F206" s="87">
        <v>5</v>
      </c>
      <c r="G206" s="27"/>
      <c r="H206" s="149"/>
      <c r="I206" s="151"/>
      <c r="J206" s="151"/>
      <c r="K206" s="151"/>
      <c r="L206" s="150"/>
      <c r="M206" s="69" t="str">
        <f>IF(A13stdlife="n/a","n/a",IF(M$3&gt;(A13stdlife+$F206),(Input!$L$155*(1+vanilla5)^0.5)-SUM($L206:L206),(Input!$L$155*(1+vanilla5)^0.5)/A13stdlife))</f>
        <v>n/a</v>
      </c>
      <c r="N206" s="69" t="str">
        <f>IF(A13stdlife="n/a","n/a",IF(N$3&gt;(A13stdlife+$F206),(Input!$L$155*(1+vanilla5)^0.5)-SUM($L206:M206),(Input!$L$155*(1+vanilla5)^0.5)/A13stdlife))</f>
        <v>n/a</v>
      </c>
      <c r="O206" s="69" t="str">
        <f>IF(A13stdlife="n/a","n/a",IF(O$3&gt;(A13stdlife+$F206),(Input!$L$155*(1+vanilla5)^0.5)-SUM($L206:N206),(Input!$L$155*(1+vanilla5)^0.5)/A13stdlife))</f>
        <v>n/a</v>
      </c>
      <c r="P206" s="69" t="str">
        <f>IF(A13stdlife="n/a","n/a",IF(P$3&gt;(A13stdlife+$F206),(Input!$L$155*(1+vanilla5)^0.5)-SUM($L206:O206),(Input!$L$155*(1+vanilla5)^0.5)/A13stdlife))</f>
        <v>n/a</v>
      </c>
      <c r="Q206" s="69" t="str">
        <f>IF(A13stdlife="n/a","n/a",IF(Q$3&gt;(A13stdlife+$F206),(Input!$L$155*(1+vanilla5)^0.5)-SUM($L206:P206),(Input!$L$155*(1+vanilla5)^0.5)/A13stdlife))</f>
        <v>n/a</v>
      </c>
      <c r="R206" s="69"/>
      <c r="S206" s="104"/>
      <c r="T206" s="104"/>
      <c r="U206" s="104"/>
      <c r="V206" s="104"/>
      <c r="W206" s="104"/>
      <c r="X206" s="104"/>
      <c r="Y206" s="104"/>
      <c r="Z206" s="104"/>
      <c r="AA206" s="104"/>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537"/>
      <c r="F207" s="87">
        <v>6</v>
      </c>
      <c r="G207" s="27"/>
      <c r="H207" s="149"/>
      <c r="I207" s="151"/>
      <c r="J207" s="151"/>
      <c r="K207" s="151"/>
      <c r="L207" s="151"/>
      <c r="M207" s="150"/>
      <c r="N207" s="69" t="str">
        <f>IF(A13stdlife="n/a","n/a",IF(N$3&gt;(A13stdlife+$F207),(Input!$M$155*(1+vanilla6)^0.5)-SUM($M207:M207),(Input!$M$155*(1+vanilla6)^0.5)/A13stdlife))</f>
        <v>n/a</v>
      </c>
      <c r="O207" s="69" t="str">
        <f>IF(A13stdlife="n/a","n/a",IF(O$3&gt;(A13stdlife+$F207),(Input!$M$155*(1+vanilla6)^0.5)-SUM($M207:N207),(Input!$M$155*(1+vanilla6)^0.5)/A13stdlife))</f>
        <v>n/a</v>
      </c>
      <c r="P207" s="69" t="str">
        <f>IF(A13stdlife="n/a","n/a",IF(P$3&gt;(A13stdlife+$F207),(Input!$M$155*(1+vanilla6)^0.5)-SUM($M207:O207),(Input!$M$155*(1+vanilla6)^0.5)/A13stdlife))</f>
        <v>n/a</v>
      </c>
      <c r="Q207" s="69" t="str">
        <f>IF(A13stdlife="n/a","n/a",IF(Q$3&gt;(A13stdlife+$F207),(Input!$M$155*(1+vanilla6)^0.5)-SUM($M207:P207),(Input!$M$155*(1+vanilla6)^0.5)/A13stdlife))</f>
        <v>n/a</v>
      </c>
      <c r="R207" s="69"/>
      <c r="S207" s="104"/>
      <c r="T207" s="104"/>
      <c r="U207" s="104"/>
      <c r="V207" s="104"/>
      <c r="W207" s="104"/>
      <c r="X207" s="104"/>
      <c r="Y207" s="104"/>
      <c r="Z207" s="104"/>
      <c r="AA207" s="104"/>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37"/>
      <c r="F208" s="87">
        <v>7</v>
      </c>
      <c r="G208" s="27"/>
      <c r="H208" s="149"/>
      <c r="I208" s="151"/>
      <c r="J208" s="151"/>
      <c r="K208" s="151"/>
      <c r="L208" s="151"/>
      <c r="M208" s="151"/>
      <c r="N208" s="150"/>
      <c r="O208" s="69" t="str">
        <f>IF(A13stdlife="n/a","n/a",IF(O$3&gt;(A13stdlife+$F208),(Input!$N$155*(1+vanilla7)^0.5)-SUM($N208:N208),(Input!$N$155*(1+vanilla7)^0.5)/A13stdlife))</f>
        <v>n/a</v>
      </c>
      <c r="P208" s="69" t="str">
        <f>IF(A13stdlife="n/a","n/a",IF(P$3&gt;(A13stdlife+$F208),(Input!$N$155*(1+vanilla7)^0.5)-SUM($N208:O208),(Input!$N$155*(1+vanilla7)^0.5)/A13stdlife))</f>
        <v>n/a</v>
      </c>
      <c r="Q208" s="69" t="str">
        <f>IF(A13stdlife="n/a","n/a",IF(Q$3&gt;(A13stdlife+$F208),(Input!$N$155*(1+vanilla7)^0.5)-SUM($N208:P208),(Input!$N$155*(1+vanilla7)^0.5)/A13stdlife))</f>
        <v>n/a</v>
      </c>
      <c r="R208" s="69"/>
      <c r="S208" s="104"/>
      <c r="T208" s="104"/>
      <c r="U208" s="104"/>
      <c r="V208" s="104"/>
      <c r="W208" s="104"/>
      <c r="X208" s="104"/>
      <c r="Y208" s="104"/>
      <c r="Z208" s="104"/>
      <c r="AA208" s="104"/>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37"/>
      <c r="F209" s="87">
        <v>8</v>
      </c>
      <c r="G209" s="27"/>
      <c r="H209" s="149"/>
      <c r="I209" s="151"/>
      <c r="J209" s="151"/>
      <c r="K209" s="151"/>
      <c r="L209" s="151"/>
      <c r="M209" s="151"/>
      <c r="N209" s="151"/>
      <c r="O209" s="150"/>
      <c r="P209" s="69" t="str">
        <f>IF(A13stdlife="n/a","n/a",IF(P$3&gt;(A13stdlife+$F209),(Input!$O$155*(1+vanilla8)^0.5)-SUM($O209:O209),(Input!$O$155*(1+vanilla8)^0.5)/A13stdlife))</f>
        <v>n/a</v>
      </c>
      <c r="Q209" s="69" t="str">
        <f>IF(A13stdlife="n/a","n/a",IF(Q$3&gt;(A13stdlife+$F209),(Input!$O$155*(1+vanilla8)^0.5)-SUM($O209:P209),(Input!$O$155*(1+vanilla8)^0.5)/A13stdlife))</f>
        <v>n/a</v>
      </c>
      <c r="R209" s="69"/>
      <c r="S209" s="104"/>
      <c r="T209" s="104"/>
      <c r="U209" s="104"/>
      <c r="V209" s="104"/>
      <c r="W209" s="104"/>
      <c r="X209" s="104"/>
      <c r="Y209" s="104"/>
      <c r="Z209" s="104"/>
      <c r="AA209" s="104"/>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37"/>
      <c r="F210" s="87">
        <v>9</v>
      </c>
      <c r="G210" s="27"/>
      <c r="H210" s="149"/>
      <c r="I210" s="151"/>
      <c r="J210" s="151"/>
      <c r="K210" s="151"/>
      <c r="L210" s="151"/>
      <c r="M210" s="151"/>
      <c r="N210" s="151"/>
      <c r="O210" s="151"/>
      <c r="P210" s="150"/>
      <c r="Q210" s="69" t="str">
        <f>IF(A13stdlife="n/a","n/a",IF(Q$3&gt;(A13stdlife+$F210),(Input!$P$155*(1+vanilla9)^0.5)-SUM($P210:P210),(Input!$P$155*(1+vanilla9)^0.5)/A13stdlife))</f>
        <v>n/a</v>
      </c>
      <c r="R210" s="69"/>
      <c r="S210" s="104"/>
      <c r="T210" s="104"/>
      <c r="U210" s="104"/>
      <c r="V210" s="104"/>
      <c r="W210" s="104"/>
      <c r="X210" s="104"/>
      <c r="Y210" s="104"/>
      <c r="Z210" s="104"/>
      <c r="AA210" s="104"/>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37"/>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8"/>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536" t="s">
        <v>86</v>
      </c>
      <c r="F214" s="87">
        <v>0</v>
      </c>
      <c r="G214" s="124"/>
      <c r="H214" s="69"/>
      <c r="I214" s="69"/>
      <c r="J214" s="69"/>
      <c r="K214" s="69"/>
      <c r="L214" s="69"/>
      <c r="M214" s="166"/>
      <c r="N214" s="113"/>
      <c r="O214" s="69"/>
      <c r="P214" s="69"/>
      <c r="Q214" s="69"/>
      <c r="R214" s="69"/>
      <c r="S214" s="104"/>
      <c r="T214" s="104"/>
      <c r="U214" s="104"/>
      <c r="V214" s="104"/>
      <c r="W214" s="104"/>
      <c r="X214" s="104"/>
      <c r="Y214" s="104"/>
      <c r="Z214" s="104"/>
      <c r="AA214" s="104"/>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37"/>
      <c r="F215" s="87">
        <v>1</v>
      </c>
      <c r="G215" s="124"/>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37"/>
      <c r="F216" s="87">
        <v>2</v>
      </c>
      <c r="G216" s="124"/>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37"/>
      <c r="F217" s="87">
        <v>3</v>
      </c>
      <c r="G217" s="124"/>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537"/>
      <c r="F218" s="87">
        <v>4</v>
      </c>
      <c r="G218" s="124"/>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537"/>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537"/>
      <c r="F220" s="87">
        <v>6</v>
      </c>
      <c r="G220" s="27"/>
      <c r="H220" s="149"/>
      <c r="I220" s="151"/>
      <c r="J220" s="151"/>
      <c r="K220" s="151"/>
      <c r="L220" s="151"/>
      <c r="M220" s="150"/>
      <c r="N220" s="69" t="str">
        <f>IF(A14stdlife="n/a","n/a",IF(N$3&gt;(A14stdlife+$F220),(Input!$M$156*(1+vanilla6)^0.5)-SUM($M220:M220),(Input!$IN$156*(1+vanilla6)^0.5)/A14stdlife))</f>
        <v>n/a</v>
      </c>
      <c r="O220" s="69" t="str">
        <f>IF(A14stdlife="n/a","n/a",IF(O$3&gt;(A14stdlife+$F220),(Input!$M$156*(1+vanilla6)^0.5)-SUM($M220:N220),(Input!$IN$156*(1+vanilla6)^0.5)/A14stdlife))</f>
        <v>n/a</v>
      </c>
      <c r="P220" s="69" t="str">
        <f>IF(A14stdlife="n/a","n/a",IF(P$3&gt;(A14stdlife+$F220),(Input!$M$156*(1+vanilla6)^0.5)-SUM($M220:O220),(Input!$IN$156*(1+vanilla6)^0.5)/A14stdlife))</f>
        <v>n/a</v>
      </c>
      <c r="Q220" s="69" t="str">
        <f>IF(A14stdlife="n/a","n/a",IF(Q$3&gt;(A14stdlife+$F220),(Input!$M$156*(1+vanilla6)^0.5)-SUM($M220:P220),(Input!$IN$156*(1+vanilla6)^0.5)/A14stdlife))</f>
        <v>n/a</v>
      </c>
      <c r="R220" s="69"/>
      <c r="S220" s="104"/>
      <c r="T220" s="104"/>
      <c r="U220" s="104"/>
      <c r="V220" s="104"/>
      <c r="W220" s="104"/>
      <c r="X220" s="104"/>
      <c r="Y220" s="104"/>
      <c r="Z220" s="104"/>
      <c r="AA220" s="104"/>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37"/>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37"/>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37"/>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37"/>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8"/>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536" t="s">
        <v>86</v>
      </c>
      <c r="F227" s="87">
        <v>0</v>
      </c>
      <c r="G227" s="124"/>
      <c r="H227" s="69"/>
      <c r="I227" s="69"/>
      <c r="J227" s="69"/>
      <c r="K227" s="69"/>
      <c r="L227" s="69"/>
      <c r="M227" s="166"/>
      <c r="N227" s="113"/>
      <c r="O227" s="69"/>
      <c r="P227" s="69"/>
      <c r="Q227" s="69"/>
      <c r="R227" s="69"/>
      <c r="S227" s="104"/>
      <c r="T227" s="104"/>
      <c r="U227" s="104"/>
      <c r="V227" s="104"/>
      <c r="W227" s="104"/>
      <c r="X227" s="104"/>
      <c r="Y227" s="104"/>
      <c r="Z227" s="104"/>
      <c r="AA227" s="104"/>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37"/>
      <c r="F228" s="87">
        <v>1</v>
      </c>
      <c r="G228" s="124"/>
      <c r="H228" s="148"/>
      <c r="I228" s="69" t="str">
        <f>IF(A15stdlife="n/a","n/a",IF(I$3&gt;(A15stdlife+$F228),(Input!$H$157*(1+vanilla1)^0.5)-SUM($H228:H228),(Input!$H$157*(1+vanilla1)^0.5)/A15stdlife))</f>
        <v>n/a</v>
      </c>
      <c r="J228" s="69" t="str">
        <f>IF(A15stdlife="n/a","n/a",IF(J$3&gt;(A15stdlife+$F228),(Input!$H$157*(1+vanilla1)^0.5)-SUM($H228:I228),(Input!$H$157*(1+vanilla1)^0.5)/A15stdlife))</f>
        <v>n/a</v>
      </c>
      <c r="K228" s="69" t="str">
        <f>IF(A15stdlife="n/a","n/a",IF(K$3&gt;(A15stdlife+$F228),(Input!$H$157*(1+vanilla1)^0.5)-SUM($H228:J228),(Input!$H$157*(1+vanilla1)^0.5)/A15stdlife))</f>
        <v>n/a</v>
      </c>
      <c r="L228" s="69" t="str">
        <f>IF(A15stdlife="n/a","n/a",IF(L$3&gt;(A15stdlife+$F228),(Input!$H$157*(1+vanilla1)^0.5)-SUM($H228:K228),(Input!$H$157*(1+vanilla1)^0.5)/A15stdlife))</f>
        <v>n/a</v>
      </c>
      <c r="M228" s="69" t="str">
        <f>IF(A15stdlife="n/a","n/a",IF(M$3&gt;(A15stdlife+$F228),(Input!$H$157*(1+vanilla1)^0.5)-SUM($H228:L228),(Input!$H$157*(1+vanilla1)^0.5)/A15stdlife))</f>
        <v>n/a</v>
      </c>
      <c r="N228" s="69" t="str">
        <f>IF(A15stdlife="n/a","n/a",IF(N$3&gt;(A15stdlife+$F228),(Input!$H$157*(1+vanilla1)^0.5)-SUM($H228:M228),(Input!$H$157*(1+vanilla1)^0.5)/A15stdlife))</f>
        <v>n/a</v>
      </c>
      <c r="O228" s="69" t="str">
        <f>IF(A15stdlife="n/a","n/a",IF(O$3&gt;(A15stdlife+$F228),(Input!$H$157*(1+vanilla1)^0.5)-SUM($H228:N228),(Input!$H$157*(1+vanilla1)^0.5)/A15stdlife))</f>
        <v>n/a</v>
      </c>
      <c r="P228" s="69" t="str">
        <f>IF(A15stdlife="n/a","n/a",IF(P$3&gt;(A15stdlife+$F228),(Input!$H$157*(1+vanilla1)^0.5)-SUM($H228:O228),(Input!$H$157*(1+vanilla1)^0.5)/A15stdlife))</f>
        <v>n/a</v>
      </c>
      <c r="Q228" s="69" t="str">
        <f>IF(A15stdlife="n/a","n/a",IF(Q$3&gt;(A15stdlife+$F228),(Input!$H$157*(1+vanilla1)^0.5)-SUM($H228:P228),(Input!$H$157*(1+vanilla1)^0.5)/A15stdlife))</f>
        <v>n/a</v>
      </c>
      <c r="R228" s="69"/>
      <c r="S228" s="104"/>
      <c r="T228" s="104"/>
      <c r="U228" s="104"/>
      <c r="V228" s="104"/>
      <c r="W228" s="104"/>
      <c r="X228" s="104"/>
      <c r="Y228" s="104"/>
      <c r="Z228" s="104"/>
      <c r="AA228" s="104"/>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37"/>
      <c r="F229" s="87">
        <v>2</v>
      </c>
      <c r="G229" s="124"/>
      <c r="H229" s="149"/>
      <c r="I229" s="150"/>
      <c r="J229" s="69" t="str">
        <f>IF(A15stdlife="n/a","n/a",IF(J$3&gt;(A15stdlife+$F229),(Input!$I$157*(1+vanilla2)^0.5)-SUM($I229:I229),(Input!$I$157*(1+vanilla2)^0.5)/A15stdlife))</f>
        <v>n/a</v>
      </c>
      <c r="K229" s="69" t="str">
        <f>IF(A15stdlife="n/a","n/a",IF(K$3&gt;(A15stdlife+$F229),(Input!$I$157*(1+vanilla2)^0.5)-SUM($I229:J229),(Input!$I$157*(1+vanilla2)^0.5)/A15stdlife))</f>
        <v>n/a</v>
      </c>
      <c r="L229" s="69" t="str">
        <f>IF(A15stdlife="n/a","n/a",IF(L$3&gt;(A15stdlife+$F229),(Input!$I$157*(1+vanilla2)^0.5)-SUM($I229:K229),(Input!$I$157*(1+vanilla2)^0.5)/A15stdlife))</f>
        <v>n/a</v>
      </c>
      <c r="M229" s="69" t="str">
        <f>IF(A15stdlife="n/a","n/a",IF(M$3&gt;(A15stdlife+$F229),(Input!$I$157*(1+vanilla2)^0.5)-SUM($I229:L229),(Input!$I$157*(1+vanilla2)^0.5)/A15stdlife))</f>
        <v>n/a</v>
      </c>
      <c r="N229" s="69" t="str">
        <f>IF(A15stdlife="n/a","n/a",IF(N$3&gt;(A15stdlife+$F229),(Input!$I$157*(1+vanilla2)^0.5)-SUM($I229:M229),(Input!$I$157*(1+vanilla2)^0.5)/A15stdlife))</f>
        <v>n/a</v>
      </c>
      <c r="O229" s="69" t="str">
        <f>IF(A15stdlife="n/a","n/a",IF(O$3&gt;(A15stdlife+$F229),(Input!$I$157*(1+vanilla2)^0.5)-SUM($I229:N229),(Input!$I$157*(1+vanilla2)^0.5)/A15stdlife))</f>
        <v>n/a</v>
      </c>
      <c r="P229" s="69" t="str">
        <f>IF(A15stdlife="n/a","n/a",IF(P$3&gt;(A15stdlife+$F229),(Input!$I$157*(1+vanilla2)^0.5)-SUM($I229:O229),(Input!$I$157*(1+vanilla2)^0.5)/A15stdlife))</f>
        <v>n/a</v>
      </c>
      <c r="Q229" s="69" t="str">
        <f>IF(A15stdlife="n/a","n/a",IF(Q$3&gt;(A15stdlife+$F229),(Input!$I$157*(1+vanilla2)^0.5)-SUM($I229:P229),(Input!$I$157*(1+vanilla2)^0.5)/A15stdlife))</f>
        <v>n/a</v>
      </c>
      <c r="R229" s="69"/>
      <c r="S229" s="104"/>
      <c r="T229" s="104"/>
      <c r="U229" s="104"/>
      <c r="V229" s="104"/>
      <c r="W229" s="104"/>
      <c r="X229" s="104"/>
      <c r="Y229" s="104"/>
      <c r="Z229" s="104"/>
      <c r="AA229" s="104"/>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37"/>
      <c r="F230" s="87">
        <v>3</v>
      </c>
      <c r="G230" s="124"/>
      <c r="H230" s="149"/>
      <c r="I230" s="151"/>
      <c r="J230" s="150"/>
      <c r="K230" s="69" t="str">
        <f>IF(A15stdlife="n/a","n/a",IF(K$3&gt;(A15stdlife+$F230),(Input!$J$157*(1+vanilla3)^0.5)-SUM($J230:J230),(Input!$J$157*(1+vanilla3)^0.5)/A15stdlife))</f>
        <v>n/a</v>
      </c>
      <c r="L230" s="69" t="str">
        <f>IF(A15stdlife="n/a","n/a",IF(L$3&gt;(A15stdlife+$F230),(Input!$J$157*(1+vanilla3)^0.5)-SUM($J230:K230),(Input!$J$157*(1+vanilla3)^0.5)/A15stdlife))</f>
        <v>n/a</v>
      </c>
      <c r="M230" s="69" t="str">
        <f>IF(A15stdlife="n/a","n/a",IF(M$3&gt;(A15stdlife+$F230),(Input!$J$157*(1+vanilla3)^0.5)-SUM($J230:L230),(Input!$J$157*(1+vanilla3)^0.5)/A15stdlife))</f>
        <v>n/a</v>
      </c>
      <c r="N230" s="69" t="str">
        <f>IF(A15stdlife="n/a","n/a",IF(N$3&gt;(A15stdlife+$F230),(Input!$J$157*(1+vanilla3)^0.5)-SUM($J230:M230),(Input!$J$157*(1+vanilla3)^0.5)/A15stdlife))</f>
        <v>n/a</v>
      </c>
      <c r="O230" s="69" t="str">
        <f>IF(A15stdlife="n/a","n/a",IF(O$3&gt;(A15stdlife+$F230),(Input!$J$157*(1+vanilla3)^0.5)-SUM($J230:N230),(Input!$J$157*(1+vanilla3)^0.5)/A15stdlife))</f>
        <v>n/a</v>
      </c>
      <c r="P230" s="69" t="str">
        <f>IF(A15stdlife="n/a","n/a",IF(P$3&gt;(A15stdlife+$F230),(Input!$J$157*(1+vanilla3)^0.5)-SUM($J230:O230),(Input!$J$157*(1+vanilla3)^0.5)/A15stdlife))</f>
        <v>n/a</v>
      </c>
      <c r="Q230" s="69" t="str">
        <f>IF(A15stdlife="n/a","n/a",IF(Q$3&gt;(A15stdlife+$F230),(Input!$J$157*(1+vanilla3)^0.5)-SUM($J230:P230),(Input!$J$157*(1+vanilla3)^0.5)/A15stdlife))</f>
        <v>n/a</v>
      </c>
      <c r="R230" s="69"/>
      <c r="S230" s="104"/>
      <c r="T230" s="104"/>
      <c r="U230" s="104"/>
      <c r="V230" s="104"/>
      <c r="W230" s="104"/>
      <c r="X230" s="104"/>
      <c r="Y230" s="104"/>
      <c r="Z230" s="104"/>
      <c r="AA230" s="104"/>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537"/>
      <c r="F231" s="87">
        <v>4</v>
      </c>
      <c r="G231" s="124"/>
      <c r="H231" s="149"/>
      <c r="I231" s="151"/>
      <c r="J231" s="151"/>
      <c r="K231" s="150"/>
      <c r="L231" s="69" t="str">
        <f>IF(A15stdlife="n/a","n/a",IF(L$3&gt;(A15stdlife+$F231),(Input!$K$157*(1+vanilla4)^0.5)-SUM($K231:K231),(Input!$K$157*(1+vanilla4)^0.5)/A15stdlife))</f>
        <v>n/a</v>
      </c>
      <c r="M231" s="69" t="str">
        <f>IF(A15stdlife="n/a","n/a",IF(M$3&gt;(A15stdlife+$F231),(Input!$K$157*(1+vanilla4)^0.5)-SUM($K231:L231),(Input!$K$157*(1+vanilla4)^0.5)/A15stdlife))</f>
        <v>n/a</v>
      </c>
      <c r="N231" s="69" t="str">
        <f>IF(A15stdlife="n/a","n/a",IF(N$3&gt;(A15stdlife+$F231),(Input!$K$157*(1+vanilla4)^0.5)-SUM($K231:M231),(Input!$K$157*(1+vanilla4)^0.5)/A15stdlife))</f>
        <v>n/a</v>
      </c>
      <c r="O231" s="69" t="str">
        <f>IF(A15stdlife="n/a","n/a",IF(O$3&gt;(A15stdlife+$F231),(Input!$K$157*(1+vanilla4)^0.5)-SUM($K231:N231),(Input!$K$157*(1+vanilla4)^0.5)/A15stdlife))</f>
        <v>n/a</v>
      </c>
      <c r="P231" s="69" t="str">
        <f>IF(A15stdlife="n/a","n/a",IF(P$3&gt;(A15stdlife+$F231),(Input!$K$157*(1+vanilla4)^0.5)-SUM($K231:O231),(Input!$K$157*(1+vanilla4)^0.5)/A15stdlife))</f>
        <v>n/a</v>
      </c>
      <c r="Q231" s="69" t="str">
        <f>IF(A15stdlife="n/a","n/a",IF(Q$3&gt;(A15stdlife+$F231),(Input!$K$157*(1+vanilla4)^0.5)-SUM($K231:P231),(Input!$K$157*(1+vanilla4)^0.5)/A15stdlife))</f>
        <v>n/a</v>
      </c>
      <c r="R231" s="69"/>
      <c r="S231" s="104"/>
      <c r="T231" s="104"/>
      <c r="U231" s="104"/>
      <c r="V231" s="104"/>
      <c r="W231" s="104"/>
      <c r="X231" s="104"/>
      <c r="Y231" s="104"/>
      <c r="Z231" s="104"/>
      <c r="AA231" s="104"/>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537"/>
      <c r="F232" s="87">
        <v>5</v>
      </c>
      <c r="G232" s="27"/>
      <c r="H232" s="149"/>
      <c r="I232" s="151"/>
      <c r="J232" s="151"/>
      <c r="K232" s="151"/>
      <c r="L232" s="150"/>
      <c r="M232" s="69" t="str">
        <f>IF(A15stdlife="n/a","n/a",IF(M$3&gt;(A15stdlife+$F232),(Input!$L$157*(1+vanilla5)^0.5)-SUM($L232:L232),(Input!$L$157*(1+vanilla5)^0.5)/A15stdlife))</f>
        <v>n/a</v>
      </c>
      <c r="N232" s="69" t="str">
        <f>IF(A15stdlife="n/a","n/a",IF(N$3&gt;(A15stdlife+$F232),(Input!$L$157*(1+vanilla5)^0.5)-SUM($L232:M232),(Input!$L$157*(1+vanilla5)^0.5)/A15stdlife))</f>
        <v>n/a</v>
      </c>
      <c r="O232" s="69" t="str">
        <f>IF(A15stdlife="n/a","n/a",IF(O$3&gt;(A15stdlife+$F232),(Input!$L$157*(1+vanilla5)^0.5)-SUM($L232:N232),(Input!$L$157*(1+vanilla5)^0.5)/A15stdlife))</f>
        <v>n/a</v>
      </c>
      <c r="P232" s="69" t="str">
        <f>IF(A15stdlife="n/a","n/a",IF(P$3&gt;(A15stdlife+$F232),(Input!$L$157*(1+vanilla5)^0.5)-SUM($L232:O232),(Input!$L$157*(1+vanilla5)^0.5)/A15stdlife))</f>
        <v>n/a</v>
      </c>
      <c r="Q232" s="69" t="str">
        <f>IF(A15stdlife="n/a","n/a",IF(Q$3&gt;(A15stdlife+$F232),(Input!$L$157*(1+vanilla5)^0.5)-SUM($L232:P232),(Input!$L$157*(1+vanilla5)^0.5)/A15stdlife))</f>
        <v>n/a</v>
      </c>
      <c r="R232" s="69"/>
      <c r="S232" s="104"/>
      <c r="T232" s="104"/>
      <c r="U232" s="104"/>
      <c r="V232" s="104"/>
      <c r="W232" s="104"/>
      <c r="X232" s="104"/>
      <c r="Y232" s="104"/>
      <c r="Z232" s="104"/>
      <c r="AA232" s="104"/>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537"/>
      <c r="F233" s="87">
        <v>6</v>
      </c>
      <c r="G233" s="27"/>
      <c r="H233" s="149"/>
      <c r="I233" s="151"/>
      <c r="J233" s="151"/>
      <c r="K233" s="151"/>
      <c r="L233" s="151"/>
      <c r="M233" s="150"/>
      <c r="N233" s="69" t="str">
        <f>IF(A15stdlife="n/a","n/a",IF(N$3&gt;(A15stdlife+$F233),(Input!$M$157*(1+vanilla6)^0.5)-SUM($M233:M233),(Input!$M$157*(1+vanilla6)^0.5)/A15stdlife))</f>
        <v>n/a</v>
      </c>
      <c r="O233" s="69" t="str">
        <f>IF(A15stdlife="n/a","n/a",IF(O$3&gt;(A15stdlife+$F233),(Input!$M$157*(1+vanilla6)^0.5)-SUM($M233:N233),(Input!$M$157*(1+vanilla6)^0.5)/A15stdlife))</f>
        <v>n/a</v>
      </c>
      <c r="P233" s="69" t="str">
        <f>IF(A15stdlife="n/a","n/a",IF(P$3&gt;(A15stdlife+$F233),(Input!$M$157*(1+vanilla6)^0.5)-SUM($M233:O233),(Input!$M$157*(1+vanilla6)^0.5)/A15stdlife))</f>
        <v>n/a</v>
      </c>
      <c r="Q233" s="69" t="str">
        <f>IF(A15stdlife="n/a","n/a",IF(Q$3&gt;(A15stdlife+$F233),(Input!$M$157*(1+vanilla6)^0.5)-SUM($M233:P233),(Input!$M$157*(1+vanilla6)^0.5)/A15stdlife))</f>
        <v>n/a</v>
      </c>
      <c r="R233" s="69"/>
      <c r="S233" s="104"/>
      <c r="T233" s="104"/>
      <c r="U233" s="104"/>
      <c r="V233" s="104"/>
      <c r="W233" s="104"/>
      <c r="X233" s="104"/>
      <c r="Y233" s="104"/>
      <c r="Z233" s="104"/>
      <c r="AA233" s="104"/>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37"/>
      <c r="F234" s="87">
        <v>7</v>
      </c>
      <c r="G234" s="27"/>
      <c r="H234" s="149"/>
      <c r="I234" s="151"/>
      <c r="J234" s="151"/>
      <c r="K234" s="151"/>
      <c r="L234" s="151"/>
      <c r="M234" s="151"/>
      <c r="N234" s="150"/>
      <c r="O234" s="69" t="str">
        <f>IF(A15stdlife="n/a","n/a",IF(O$3&gt;(A15stdlife+$F234),(Input!$N$157*(1+vanilla7)^0.5)-SUM($N234:N234),(Input!$N$157*(1+vanilla7)^0.5)/A15stdlife))</f>
        <v>n/a</v>
      </c>
      <c r="P234" s="69" t="str">
        <f>IF(A15stdlife="n/a","n/a",IF(P$3&gt;(A15stdlife+$F234),(Input!$N$157*(1+vanilla7)^0.5)-SUM($N234:O234),(Input!$N$157*(1+vanilla7)^0.5)/A15stdlife))</f>
        <v>n/a</v>
      </c>
      <c r="Q234" s="69" t="str">
        <f>IF(A15stdlife="n/a","n/a",IF(Q$3&gt;(A15stdlife+$F234),(Input!$N$157*(1+vanilla7)^0.5)-SUM($N234:P234),(Input!$N$157*(1+vanilla7)^0.5)/A15stdlife))</f>
        <v>n/a</v>
      </c>
      <c r="R234" s="69"/>
      <c r="S234" s="104"/>
      <c r="T234" s="104"/>
      <c r="U234" s="104"/>
      <c r="V234" s="104"/>
      <c r="W234" s="104"/>
      <c r="X234" s="104"/>
      <c r="Y234" s="104"/>
      <c r="Z234" s="104"/>
      <c r="AA234" s="104"/>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37"/>
      <c r="F235" s="87">
        <v>8</v>
      </c>
      <c r="G235" s="27"/>
      <c r="H235" s="149"/>
      <c r="I235" s="151"/>
      <c r="J235" s="151"/>
      <c r="K235" s="151"/>
      <c r="L235" s="151"/>
      <c r="M235" s="151"/>
      <c r="N235" s="151"/>
      <c r="O235" s="150"/>
      <c r="P235" s="69" t="str">
        <f>IF(A15stdlife="n/a","n/a",IF(P$3&gt;(A15stdlife+$F235),(Input!$O$157*(1+vanilla8)^0.5)-SUM($O235:O235),(Input!$O$157*(1+vanilla8)^0.5)/A15stdlife))</f>
        <v>n/a</v>
      </c>
      <c r="Q235" s="69" t="str">
        <f>IF(A15stdlife="n/a","n/a",IF(Q$3&gt;(A15stdlife+$F235),(Input!$O$157*(1+vanilla8)^0.5)-SUM($O235:P235),(Input!$O$157*(1+vanilla8)^0.5)/A15stdlife))</f>
        <v>n/a</v>
      </c>
      <c r="R235" s="69"/>
      <c r="S235" s="104"/>
      <c r="T235" s="104"/>
      <c r="U235" s="104"/>
      <c r="V235" s="104"/>
      <c r="W235" s="104"/>
      <c r="X235" s="104"/>
      <c r="Y235" s="104"/>
      <c r="Z235" s="104"/>
      <c r="AA235" s="104"/>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37"/>
      <c r="F236" s="87">
        <v>9</v>
      </c>
      <c r="G236" s="27"/>
      <c r="H236" s="149"/>
      <c r="I236" s="151"/>
      <c r="J236" s="151"/>
      <c r="K236" s="151"/>
      <c r="L236" s="151"/>
      <c r="M236" s="151"/>
      <c r="N236" s="151"/>
      <c r="O236" s="151"/>
      <c r="P236" s="150"/>
      <c r="Q236" s="69" t="str">
        <f>IF(A15stdlife="n/a","n/a",IF(Q$3&gt;(A15stdlife+$F236),(Input!$P$157*(1+vanilla9)^0.5)-SUM($P236:P236),(Input!$P$157*(1+vanilla9)^0.5)/A15stdlife))</f>
        <v>n/a</v>
      </c>
      <c r="R236" s="69"/>
      <c r="S236" s="104"/>
      <c r="T236" s="104"/>
      <c r="U236" s="104"/>
      <c r="V236" s="104"/>
      <c r="W236" s="104"/>
      <c r="X236" s="104"/>
      <c r="Y236" s="104"/>
      <c r="Z236" s="104"/>
      <c r="AA236" s="104"/>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37"/>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8"/>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536" t="s">
        <v>86</v>
      </c>
      <c r="F240" s="87">
        <v>0</v>
      </c>
      <c r="G240" s="124"/>
      <c r="H240" s="69"/>
      <c r="I240" s="69"/>
      <c r="J240" s="69"/>
      <c r="K240" s="69"/>
      <c r="L240" s="69"/>
      <c r="M240" s="166"/>
      <c r="N240" s="113"/>
      <c r="O240" s="69"/>
      <c r="P240" s="69"/>
      <c r="Q240" s="69"/>
      <c r="R240" s="69"/>
      <c r="S240" s="104"/>
      <c r="T240" s="104"/>
      <c r="U240" s="104"/>
      <c r="V240" s="104"/>
      <c r="W240" s="104"/>
      <c r="X240" s="104"/>
      <c r="Y240" s="104"/>
      <c r="Z240" s="104"/>
      <c r="AA240" s="104"/>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37"/>
      <c r="F241" s="87">
        <v>1</v>
      </c>
      <c r="G241" s="124"/>
      <c r="H241" s="148"/>
      <c r="I241" s="69" t="str">
        <f>IF(A16stdlife="n/a","n/a",IF(I$3&gt;(A16stdlife+$F241),(Input!$H$158*(1+vanilla1)^0.5)-SUM($H241:H241),(Input!$H$158*(1+vanilla1)^0.5)/A16stdlife))</f>
        <v>n/a</v>
      </c>
      <c r="J241" s="69" t="str">
        <f>IF(A16stdlife="n/a","n/a",IF(J$3&gt;(A16stdlife+$F241),(Input!$H$158*(1+vanilla1)^0.5)-SUM($H241:I241),(Input!$H$158*(1+vanilla1)^0.5)/A16stdlife))</f>
        <v>n/a</v>
      </c>
      <c r="K241" s="69" t="str">
        <f>IF(A16stdlife="n/a","n/a",IF(K$3&gt;(A16stdlife+$F241),(Input!$H$158*(1+vanilla1)^0.5)-SUM($H241:J241),(Input!$H$158*(1+vanilla1)^0.5)/A16stdlife))</f>
        <v>n/a</v>
      </c>
      <c r="L241" s="69" t="str">
        <f>IF(A16stdlife="n/a","n/a",IF(L$3&gt;(A16stdlife+$F241),(Input!$H$158*(1+vanilla1)^0.5)-SUM($H241:K241),(Input!$H$158*(1+vanilla1)^0.5)/A16stdlife))</f>
        <v>n/a</v>
      </c>
      <c r="M241" s="69" t="str">
        <f>IF(A16stdlife="n/a","n/a",IF(M$3&gt;(A16stdlife+$F241),(Input!$H$158*(1+vanilla1)^0.5)-SUM($H241:L241),(Input!$H$158*(1+vanilla1)^0.5)/A16stdlife))</f>
        <v>n/a</v>
      </c>
      <c r="N241" s="69" t="str">
        <f>IF(A16stdlife="n/a","n/a",IF(N$3&gt;(A16stdlife+$F241),(Input!$H$158*(1+vanilla1)^0.5)-SUM($H241:M241),(Input!$H$158*(1+vanilla1)^0.5)/A16stdlife))</f>
        <v>n/a</v>
      </c>
      <c r="O241" s="69" t="str">
        <f>IF(A16stdlife="n/a","n/a",IF(O$3&gt;(A16stdlife+$F241),(Input!$H$158*(1+vanilla1)^0.5)-SUM($H241:N241),(Input!$H$158*(1+vanilla1)^0.5)/A16stdlife))</f>
        <v>n/a</v>
      </c>
      <c r="P241" s="69" t="str">
        <f>IF(A16stdlife="n/a","n/a",IF(P$3&gt;(A16stdlife+$F241),(Input!$H$158*(1+vanilla1)^0.5)-SUM($H241:O241),(Input!$H$158*(1+vanilla1)^0.5)/A16stdlife))</f>
        <v>n/a</v>
      </c>
      <c r="Q241" s="69" t="str">
        <f>IF(A16stdlife="n/a","n/a",IF(Q$3&gt;(A16stdlife+$F241),(Input!$H$158*(1+vanilla1)^0.5)-SUM($H241:P241),(Input!$H$158*(1+vanilla1)^0.5)/A16stdlife))</f>
        <v>n/a</v>
      </c>
      <c r="R241" s="69"/>
      <c r="S241" s="104"/>
      <c r="T241" s="104"/>
      <c r="U241" s="104"/>
      <c r="V241" s="104"/>
      <c r="W241" s="104"/>
      <c r="X241" s="104"/>
      <c r="Y241" s="104"/>
      <c r="Z241" s="104"/>
      <c r="AA241" s="104"/>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37"/>
      <c r="F242" s="87">
        <v>2</v>
      </c>
      <c r="G242" s="124"/>
      <c r="H242" s="149"/>
      <c r="I242" s="150"/>
      <c r="J242" s="69" t="str">
        <f>IF(A16stdlife="n/a","n/a",IF(J$3&gt;(A16stdlife+$F242),(Input!$I$158*(1+vanilla2)^0.5)-SUM($I242:I242),(Input!$I$158*(1+vanilla2)^0.5)/A16stdlife))</f>
        <v>n/a</v>
      </c>
      <c r="K242" s="69" t="str">
        <f>IF(A16stdlife="n/a","n/a",IF(K$3&gt;(A16stdlife+$F242),(Input!$I$158*(1+vanilla2)^0.5)-SUM($I242:J242),(Input!$I$158*(1+vanilla2)^0.5)/A16stdlife))</f>
        <v>n/a</v>
      </c>
      <c r="L242" s="69" t="str">
        <f>IF(A16stdlife="n/a","n/a",IF(L$3&gt;(A16stdlife+$F242),(Input!$I$158*(1+vanilla2)^0.5)-SUM($I242:K242),(Input!$I$158*(1+vanilla2)^0.5)/A16stdlife))</f>
        <v>n/a</v>
      </c>
      <c r="M242" s="69" t="str">
        <f>IF(A16stdlife="n/a","n/a",IF(M$3&gt;(A16stdlife+$F242),(Input!$I$158*(1+vanilla2)^0.5)-SUM($I242:L242),(Input!$I$158*(1+vanilla2)^0.5)/A16stdlife))</f>
        <v>n/a</v>
      </c>
      <c r="N242" s="69" t="str">
        <f>IF(A16stdlife="n/a","n/a",IF(N$3&gt;(A16stdlife+$F242),(Input!$I$158*(1+vanilla2)^0.5)-SUM($I242:M242),(Input!$I$158*(1+vanilla2)^0.5)/A16stdlife))</f>
        <v>n/a</v>
      </c>
      <c r="O242" s="69" t="str">
        <f>IF(A16stdlife="n/a","n/a",IF(O$3&gt;(A16stdlife+$F242),(Input!$I$158*(1+vanilla2)^0.5)-SUM($I242:N242),(Input!$I$158*(1+vanilla2)^0.5)/A16stdlife))</f>
        <v>n/a</v>
      </c>
      <c r="P242" s="69" t="str">
        <f>IF(A16stdlife="n/a","n/a",IF(P$3&gt;(A16stdlife+$F242),(Input!$I$158*(1+vanilla2)^0.5)-SUM($I242:O242),(Input!$I$158*(1+vanilla2)^0.5)/A16stdlife))</f>
        <v>n/a</v>
      </c>
      <c r="Q242" s="69" t="str">
        <f>IF(A16stdlife="n/a","n/a",IF(Q$3&gt;(A16stdlife+$F242),(Input!$I$158*(1+vanilla2)^0.5)-SUM($I242:P242),(Input!$I$158*(1+vanilla2)^0.5)/A16stdlife))</f>
        <v>n/a</v>
      </c>
      <c r="R242" s="69"/>
      <c r="S242" s="104"/>
      <c r="T242" s="104"/>
      <c r="U242" s="104"/>
      <c r="V242" s="104"/>
      <c r="W242" s="104"/>
      <c r="X242" s="104"/>
      <c r="Y242" s="104"/>
      <c r="Z242" s="104"/>
      <c r="AA242" s="104"/>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37"/>
      <c r="F243" s="87">
        <v>3</v>
      </c>
      <c r="G243" s="124"/>
      <c r="H243" s="149"/>
      <c r="I243" s="151"/>
      <c r="J243" s="150"/>
      <c r="K243" s="69" t="str">
        <f>IF(A16stdlife="n/a","n/a",IF(K$3&gt;(A16stdlife+$F243),(Input!$J$158*(1+vanilla3)^0.5)-SUM($J243:J243),(Input!$J$158*(1+vanilla3)^0.5)/A16stdlife))</f>
        <v>n/a</v>
      </c>
      <c r="L243" s="69" t="str">
        <f>IF(A16stdlife="n/a","n/a",IF(L$3&gt;(A16stdlife+$F243),(Input!$J$158*(1+vanilla3)^0.5)-SUM($J243:K243),(Input!$J$158*(1+vanilla3)^0.5)/A16stdlife))</f>
        <v>n/a</v>
      </c>
      <c r="M243" s="69" t="str">
        <f>IF(A16stdlife="n/a","n/a",IF(M$3&gt;(A16stdlife+$F243),(Input!$J$158*(1+vanilla3)^0.5)-SUM($J243:L243),(Input!$J$158*(1+vanilla3)^0.5)/A16stdlife))</f>
        <v>n/a</v>
      </c>
      <c r="N243" s="69" t="str">
        <f>IF(A16stdlife="n/a","n/a",IF(N$3&gt;(A16stdlife+$F243),(Input!$J$158*(1+vanilla3)^0.5)-SUM($J243:M243),(Input!$J$158*(1+vanilla3)^0.5)/A16stdlife))</f>
        <v>n/a</v>
      </c>
      <c r="O243" s="69" t="str">
        <f>IF(A16stdlife="n/a","n/a",IF(O$3&gt;(A16stdlife+$F243),(Input!$J$158*(1+vanilla3)^0.5)-SUM($J243:N243),(Input!$J$158*(1+vanilla3)^0.5)/A16stdlife))</f>
        <v>n/a</v>
      </c>
      <c r="P243" s="69" t="str">
        <f>IF(A16stdlife="n/a","n/a",IF(P$3&gt;(A16stdlife+$F243),(Input!$J$158*(1+vanilla3)^0.5)-SUM($J243:O243),(Input!$J$158*(1+vanilla3)^0.5)/A16stdlife))</f>
        <v>n/a</v>
      </c>
      <c r="Q243" s="69" t="str">
        <f>IF(A16stdlife="n/a","n/a",IF(Q$3&gt;(A16stdlife+$F243),(Input!$J$158*(1+vanilla3)^0.5)-SUM($J243:P243),(Input!$J$158*(1+vanilla3)^0.5)/A16stdlife))</f>
        <v>n/a</v>
      </c>
      <c r="R243" s="69"/>
      <c r="S243" s="104"/>
      <c r="T243" s="104"/>
      <c r="U243" s="104"/>
      <c r="V243" s="104"/>
      <c r="W243" s="104"/>
      <c r="X243" s="104"/>
      <c r="Y243" s="104"/>
      <c r="Z243" s="104"/>
      <c r="AA243" s="104"/>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537"/>
      <c r="F244" s="87">
        <v>4</v>
      </c>
      <c r="G244" s="124"/>
      <c r="H244" s="149"/>
      <c r="I244" s="151"/>
      <c r="J244" s="151"/>
      <c r="K244" s="150"/>
      <c r="L244" s="69" t="str">
        <f>IF(A16stdlife="n/a","n/a",IF(L$3&gt;(A16stdlife+$F244),(Input!$K$158*(1+vanilla4)^0.5)-SUM($K244:K244),(Input!$K$158*(1+vanilla4)^0.5)/A16stdlife))</f>
        <v>n/a</v>
      </c>
      <c r="M244" s="69" t="str">
        <f>IF(A16stdlife="n/a","n/a",IF(M$3&gt;(A16stdlife+$F244),(Input!$K$158*(1+vanilla4)^0.5)-SUM($K244:L244),(Input!$K$158*(1+vanilla4)^0.5)/A16stdlife))</f>
        <v>n/a</v>
      </c>
      <c r="N244" s="69" t="str">
        <f>IF(A16stdlife="n/a","n/a",IF(N$3&gt;(A16stdlife+$F244),(Input!$K$158*(1+vanilla4)^0.5)-SUM($K244:M244),(Input!$K$158*(1+vanilla4)^0.5)/A16stdlife))</f>
        <v>n/a</v>
      </c>
      <c r="O244" s="69" t="str">
        <f>IF(A16stdlife="n/a","n/a",IF(O$3&gt;(A16stdlife+$F244),(Input!$K$158*(1+vanilla4)^0.5)-SUM($K244:N244),(Input!$K$158*(1+vanilla4)^0.5)/A16stdlife))</f>
        <v>n/a</v>
      </c>
      <c r="P244" s="69" t="str">
        <f>IF(A16stdlife="n/a","n/a",IF(P$3&gt;(A16stdlife+$F244),(Input!$K$158*(1+vanilla4)^0.5)-SUM($K244:O244),(Input!$K$158*(1+vanilla4)^0.5)/A16stdlife))</f>
        <v>n/a</v>
      </c>
      <c r="Q244" s="69" t="str">
        <f>IF(A16stdlife="n/a","n/a",IF(Q$3&gt;(A16stdlife+$F244),(Input!$K$158*(1+vanilla4)^0.5)-SUM($K244:P244),(Input!$K$158*(1+vanilla4)^0.5)/A16stdlife))</f>
        <v>n/a</v>
      </c>
      <c r="R244" s="69"/>
      <c r="S244" s="104"/>
      <c r="T244" s="104"/>
      <c r="U244" s="104"/>
      <c r="V244" s="104"/>
      <c r="W244" s="104"/>
      <c r="X244" s="104"/>
      <c r="Y244" s="104"/>
      <c r="Z244" s="104"/>
      <c r="AA244" s="104"/>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537"/>
      <c r="F245" s="87">
        <v>5</v>
      </c>
      <c r="G245" s="27"/>
      <c r="H245" s="149"/>
      <c r="I245" s="151"/>
      <c r="J245" s="151"/>
      <c r="K245" s="151"/>
      <c r="L245" s="150"/>
      <c r="M245" s="69" t="str">
        <f>IF(A16stdlife="n/a","n/a",IF(M$3&gt;(A16stdlife+$F245),(Input!$L$158*(1+vanilla5)^0.5)-SUM($L245:L245),(Input!$L$158*(1+vanilla5)^0.5)/A16stdlife))</f>
        <v>n/a</v>
      </c>
      <c r="N245" s="69" t="str">
        <f>IF(A16stdlife="n/a","n/a",IF(N$3&gt;(A16stdlife+$F245),(Input!$L$158*(1+vanilla5)^0.5)-SUM($L245:M245),(Input!$L$158*(1+vanilla5)^0.5)/A16stdlife))</f>
        <v>n/a</v>
      </c>
      <c r="O245" s="69" t="str">
        <f>IF(A16stdlife="n/a","n/a",IF(O$3&gt;(A16stdlife+$F245),(Input!$L$158*(1+vanilla5)^0.5)-SUM($L245:N245),(Input!$L$158*(1+vanilla5)^0.5)/A16stdlife))</f>
        <v>n/a</v>
      </c>
      <c r="P245" s="69" t="str">
        <f>IF(A16stdlife="n/a","n/a",IF(P$3&gt;(A16stdlife+$F245),(Input!$L$158*(1+vanilla5)^0.5)-SUM($L245:O245),(Input!$L$158*(1+vanilla5)^0.5)/A16stdlife))</f>
        <v>n/a</v>
      </c>
      <c r="Q245" s="69" t="str">
        <f>IF(A16stdlife="n/a","n/a",IF(Q$3&gt;(A16stdlife+$F245),(Input!$L$158*(1+vanilla5)^0.5)-SUM($L245:P245),(Input!$L$158*(1+vanilla5)^0.5)/A16stdlife))</f>
        <v>n/a</v>
      </c>
      <c r="R245" s="69"/>
      <c r="S245" s="104"/>
      <c r="T245" s="104"/>
      <c r="U245" s="104"/>
      <c r="V245" s="104"/>
      <c r="W245" s="104"/>
      <c r="X245" s="104"/>
      <c r="Y245" s="104"/>
      <c r="Z245" s="104"/>
      <c r="AA245" s="104"/>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537"/>
      <c r="F246" s="87">
        <v>6</v>
      </c>
      <c r="G246" s="27"/>
      <c r="H246" s="149"/>
      <c r="I246" s="151"/>
      <c r="J246" s="151"/>
      <c r="K246" s="151"/>
      <c r="L246" s="151"/>
      <c r="M246" s="150"/>
      <c r="N246" s="69" t="str">
        <f>IF(A16stdlife="n/a","n/a",IF(N$3&gt;(A16stdlife+$F246),(Input!$M$158*(1+vanilla6)^0.5)-SUM($M246:M246),(Input!$M$158*(1+vanilla6)^0.5)/A16stdlife))</f>
        <v>n/a</v>
      </c>
      <c r="O246" s="69" t="str">
        <f>IF(A16stdlife="n/a","n/a",IF(O$3&gt;(A16stdlife+$F246),(Input!$M$158*(1+vanilla6)^0.5)-SUM($M246:N246),(Input!$M$158*(1+vanilla6)^0.5)/A16stdlife))</f>
        <v>n/a</v>
      </c>
      <c r="P246" s="69" t="str">
        <f>IF(A16stdlife="n/a","n/a",IF(P$3&gt;(A16stdlife+$F246),(Input!$M$158*(1+vanilla6)^0.5)-SUM($M246:O246),(Input!$M$158*(1+vanilla6)^0.5)/A16stdlife))</f>
        <v>n/a</v>
      </c>
      <c r="Q246" s="69" t="str">
        <f>IF(A16stdlife="n/a","n/a",IF(Q$3&gt;(A16stdlife+$F246),(Input!$M$158*(1+vanilla6)^0.5)-SUM($M246:P246),(Input!$M$158*(1+vanilla6)^0.5)/A16stdlife))</f>
        <v>n/a</v>
      </c>
      <c r="R246" s="69"/>
      <c r="S246" s="104"/>
      <c r="T246" s="104"/>
      <c r="U246" s="104"/>
      <c r="V246" s="104"/>
      <c r="W246" s="104"/>
      <c r="X246" s="104"/>
      <c r="Y246" s="104"/>
      <c r="Z246" s="104"/>
      <c r="AA246" s="104"/>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37"/>
      <c r="F247" s="87">
        <v>7</v>
      </c>
      <c r="G247" s="27"/>
      <c r="H247" s="149"/>
      <c r="I247" s="151"/>
      <c r="J247" s="151"/>
      <c r="K247" s="151"/>
      <c r="L247" s="151"/>
      <c r="M247" s="151"/>
      <c r="N247" s="150"/>
      <c r="O247" s="69" t="str">
        <f>IF(A16stdlife="n/a","n/a",IF(O$3&gt;(A16stdlife+$F247),(Input!$N$158*(1+vanilla7)^0.5)-SUM($N247:N247),(Input!$N$158*(1+vanilla7)^0.5)/A16stdlife))</f>
        <v>n/a</v>
      </c>
      <c r="P247" s="69" t="str">
        <f>IF(A16stdlife="n/a","n/a",IF(P$3&gt;(A16stdlife+$F247),(Input!$N$158*(1+vanilla7)^0.5)-SUM($N247:O247),(Input!$N$158*(1+vanilla7)^0.5)/A16stdlife))</f>
        <v>n/a</v>
      </c>
      <c r="Q247" s="69" t="str">
        <f>IF(A16stdlife="n/a","n/a",IF(Q$3&gt;(A16stdlife+$F247),(Input!$N$158*(1+vanilla7)^0.5)-SUM($N247:P247),(Input!$N$158*(1+vanilla7)^0.5)/A16stdlife))</f>
        <v>n/a</v>
      </c>
      <c r="R247" s="69"/>
      <c r="S247" s="104"/>
      <c r="T247" s="104"/>
      <c r="U247" s="104"/>
      <c r="V247" s="104"/>
      <c r="W247" s="104"/>
      <c r="X247" s="104"/>
      <c r="Y247" s="104"/>
      <c r="Z247" s="104"/>
      <c r="AA247" s="104"/>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37"/>
      <c r="F248" s="87">
        <v>8</v>
      </c>
      <c r="G248" s="27"/>
      <c r="H248" s="149"/>
      <c r="I248" s="151"/>
      <c r="J248" s="151"/>
      <c r="K248" s="151"/>
      <c r="L248" s="151"/>
      <c r="M248" s="151"/>
      <c r="N248" s="151"/>
      <c r="O248" s="150"/>
      <c r="P248" s="69" t="str">
        <f>IF(A16stdlife="n/a","n/a",IF(P$3&gt;(A16stdlife+$F248),(Input!$O$158*(1+vanilla8)^0.5)-SUM($O248:O248),(Input!$O$158*(1+vanilla8)^0.5)/A16stdlife))</f>
        <v>n/a</v>
      </c>
      <c r="Q248" s="69" t="str">
        <f>IF(A16stdlife="n/a","n/a",IF(Q$3&gt;(A16stdlife+$F248),(Input!$O$158*(1+vanilla8)^0.5)-SUM($O248:P248),(Input!$O$158*(1+vanilla8)^0.5)/A16stdlife))</f>
        <v>n/a</v>
      </c>
      <c r="R248" s="69"/>
      <c r="S248" s="104"/>
      <c r="T248" s="104"/>
      <c r="U248" s="104"/>
      <c r="V248" s="104"/>
      <c r="W248" s="104"/>
      <c r="X248" s="104"/>
      <c r="Y248" s="104"/>
      <c r="Z248" s="104"/>
      <c r="AA248" s="104"/>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37"/>
      <c r="F249" s="87">
        <v>9</v>
      </c>
      <c r="G249" s="27"/>
      <c r="H249" s="149"/>
      <c r="I249" s="151"/>
      <c r="J249" s="151"/>
      <c r="K249" s="151"/>
      <c r="L249" s="151"/>
      <c r="M249" s="151"/>
      <c r="N249" s="151"/>
      <c r="O249" s="151"/>
      <c r="P249" s="150"/>
      <c r="Q249" s="69" t="str">
        <f>IF(A16stdlife="n/a","n/a",IF(Q$3&gt;(A16stdlife+$F249),(Input!$P$158*(1+vanilla9)^0.5)-SUM($P249:P249),(Input!$P$158*(1+vanilla9)^0.5)/A16stdlife))</f>
        <v>n/a</v>
      </c>
      <c r="R249" s="69"/>
      <c r="S249" s="104"/>
      <c r="T249" s="104"/>
      <c r="U249" s="104"/>
      <c r="V249" s="104"/>
      <c r="W249" s="104"/>
      <c r="X249" s="104"/>
      <c r="Y249" s="104"/>
      <c r="Z249" s="104"/>
      <c r="AA249" s="104"/>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37"/>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4"/>
      <c r="T252" s="104"/>
      <c r="U252" s="104"/>
      <c r="V252" s="104"/>
      <c r="W252" s="104"/>
      <c r="X252" s="104"/>
      <c r="Y252" s="104"/>
      <c r="Z252" s="104"/>
      <c r="AA252" s="104"/>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536" t="s">
        <v>86</v>
      </c>
      <c r="F253" s="87">
        <v>0</v>
      </c>
      <c r="G253" s="124"/>
      <c r="H253" s="69"/>
      <c r="I253" s="69"/>
      <c r="J253" s="69"/>
      <c r="K253" s="69"/>
      <c r="L253" s="69"/>
      <c r="M253" s="166"/>
      <c r="N253" s="113"/>
      <c r="O253" s="69"/>
      <c r="P253" s="69"/>
      <c r="Q253" s="69"/>
      <c r="R253" s="69"/>
      <c r="S253" s="104"/>
      <c r="T253" s="104"/>
      <c r="U253" s="104"/>
      <c r="V253" s="104"/>
      <c r="W253" s="104"/>
      <c r="X253" s="104"/>
      <c r="Y253" s="104"/>
      <c r="Z253" s="104"/>
      <c r="AA253" s="104"/>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37"/>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4"/>
      <c r="T254" s="104"/>
      <c r="U254" s="104"/>
      <c r="V254" s="104"/>
      <c r="W254" s="104"/>
      <c r="X254" s="104"/>
      <c r="Y254" s="104"/>
      <c r="Z254" s="104"/>
      <c r="AA254" s="104"/>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37"/>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4"/>
      <c r="T255" s="104"/>
      <c r="U255" s="104"/>
      <c r="V255" s="104"/>
      <c r="W255" s="104"/>
      <c r="X255" s="104"/>
      <c r="Y255" s="104"/>
      <c r="Z255" s="104"/>
      <c r="AA255" s="104"/>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37"/>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4"/>
      <c r="T256" s="104"/>
      <c r="U256" s="104"/>
      <c r="V256" s="104"/>
      <c r="W256" s="104"/>
      <c r="X256" s="104"/>
      <c r="Y256" s="104"/>
      <c r="Z256" s="104"/>
      <c r="AA256" s="104"/>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537"/>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4"/>
      <c r="T257" s="104"/>
      <c r="U257" s="104"/>
      <c r="V257" s="104"/>
      <c r="W257" s="104"/>
      <c r="X257" s="104"/>
      <c r="Y257" s="104"/>
      <c r="Z257" s="104"/>
      <c r="AA257" s="104"/>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537"/>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4"/>
      <c r="T258" s="104"/>
      <c r="U258" s="104"/>
      <c r="V258" s="104"/>
      <c r="W258" s="104"/>
      <c r="X258" s="104"/>
      <c r="Y258" s="104"/>
      <c r="Z258" s="104"/>
      <c r="AA258" s="104"/>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537"/>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4"/>
      <c r="T259" s="104"/>
      <c r="U259" s="104"/>
      <c r="V259" s="104"/>
      <c r="W259" s="104"/>
      <c r="X259" s="104"/>
      <c r="Y259" s="104"/>
      <c r="Z259" s="104"/>
      <c r="AA259" s="104"/>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37"/>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4"/>
      <c r="T260" s="104"/>
      <c r="U260" s="104"/>
      <c r="V260" s="104"/>
      <c r="W260" s="104"/>
      <c r="X260" s="104"/>
      <c r="Y260" s="104"/>
      <c r="Z260" s="104"/>
      <c r="AA260" s="104"/>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37"/>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4"/>
      <c r="T261" s="104"/>
      <c r="U261" s="104"/>
      <c r="V261" s="104"/>
      <c r="W261" s="104"/>
      <c r="X261" s="104"/>
      <c r="Y261" s="104"/>
      <c r="Z261" s="104"/>
      <c r="AA261" s="104"/>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37"/>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4"/>
      <c r="T262" s="104"/>
      <c r="U262" s="104"/>
      <c r="V262" s="104"/>
      <c r="W262" s="104"/>
      <c r="X262" s="104"/>
      <c r="Y262" s="104"/>
      <c r="Z262" s="104"/>
      <c r="AA262" s="104"/>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37"/>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8"/>
      <c r="H265" s="68" t="str">
        <f>IF(H$3&gt;A18remlife,A18value-SUM($G265:G265),IF(A18remlife="N/A","n/a",A18value/A18remlife))</f>
        <v>n/a</v>
      </c>
      <c r="I265" s="68" t="str">
        <f>IF(I$3&gt;A18remlife,A18value-SUM($G265:H265),IF(A18remlife="N/A","n/a",A18value/A18remlife))</f>
        <v>n/a</v>
      </c>
      <c r="J265" s="68" t="str">
        <f>IF(J$3&gt;A18remlife,A18value-SUM($G265:I265),IF(A18remlife="N/A","n/a",A18value/A18remlife))</f>
        <v>n/a</v>
      </c>
      <c r="K265" s="68" t="str">
        <f>IF(K$3&gt;A18remlife,A18value-SUM($G265:J265),IF(A18remlife="N/A","n/a",A18value/A18remlife))</f>
        <v>n/a</v>
      </c>
      <c r="L265" s="68" t="str">
        <f>IF(L$3&gt;A18remlife,A18value-SUM($G265:K265),IF(A18remlife="N/A","n/a",A18value/A18remlife))</f>
        <v>n/a</v>
      </c>
      <c r="M265" s="68" t="str">
        <f>IF(M$3&gt;A18remlife,A18value-SUM($G265:L265),IF(A18remlife="N/A","n/a",A18value/A18remlife))</f>
        <v>n/a</v>
      </c>
      <c r="N265" s="68" t="str">
        <f>IF(N$3&gt;A18remlife,A18value-SUM($G265:M265),IF(A18remlife="N/A","n/a",A18value/A18remlife))</f>
        <v>n/a</v>
      </c>
      <c r="O265" s="68" t="str">
        <f>IF(O$3&gt;A18remlife,A18value-SUM($G265:N265),IF(A18remlife="N/A","n/a",A18value/A18remlife))</f>
        <v>n/a</v>
      </c>
      <c r="P265" s="68" t="str">
        <f>IF(P$3&gt;A18remlife,A18value-SUM($G265:O265),IF(A18remlife="N/A","n/a",A18value/A18remlife))</f>
        <v>n/a</v>
      </c>
      <c r="Q265" s="68" t="str">
        <f>IF(Q$3&gt;A18remlife,A18value-SUM($G265:P265),IF(A18remlife="N/A","n/a",A18value/A18remlife))</f>
        <v>n/a</v>
      </c>
      <c r="R265" s="68"/>
      <c r="S265" s="104"/>
      <c r="T265" s="104"/>
      <c r="U265" s="104"/>
      <c r="V265" s="104"/>
      <c r="W265" s="104"/>
      <c r="X265" s="104"/>
      <c r="Y265" s="104"/>
      <c r="Z265" s="104"/>
      <c r="AA265" s="104"/>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536" t="s">
        <v>86</v>
      </c>
      <c r="F266" s="87">
        <v>0</v>
      </c>
      <c r="G266" s="124"/>
      <c r="H266" s="69"/>
      <c r="I266" s="69"/>
      <c r="J266" s="69"/>
      <c r="K266" s="69"/>
      <c r="L266" s="69"/>
      <c r="M266" s="166"/>
      <c r="N266" s="113"/>
      <c r="O266" s="69"/>
      <c r="P266" s="69"/>
      <c r="Q266" s="69"/>
      <c r="R266" s="69"/>
      <c r="S266" s="104"/>
      <c r="T266" s="104"/>
      <c r="U266" s="104"/>
      <c r="V266" s="104"/>
      <c r="W266" s="104"/>
      <c r="X266" s="104"/>
      <c r="Y266" s="104"/>
      <c r="Z266" s="104"/>
      <c r="AA266" s="104"/>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37"/>
      <c r="F267" s="87">
        <v>1</v>
      </c>
      <c r="G267" s="124"/>
      <c r="H267" s="148"/>
      <c r="I267" s="69" t="str">
        <f>IF(A18stdlife="n/a","n/a",IF(I$3&gt;(A18stdlife+$F267),(Input!$H$160*(1+vanilla1)^0.5)-SUM($H267:H267),(Input!$H$160*(1+vanilla1)^0.5)/A18stdlife))</f>
        <v>n/a</v>
      </c>
      <c r="J267" s="69" t="str">
        <f>IF(A18stdlife="n/a","n/a",IF(J$3&gt;(A18stdlife+$F267),(Input!$H$160*(1+vanilla1)^0.5)-SUM($H267:I267),(Input!$H$160*(1+vanilla1)^0.5)/A18stdlife))</f>
        <v>n/a</v>
      </c>
      <c r="K267" s="69" t="str">
        <f>IF(A18stdlife="n/a","n/a",IF(K$3&gt;(A18stdlife+$F267),(Input!$H$160*(1+vanilla1)^0.5)-SUM($H267:J267),(Input!$H$160*(1+vanilla1)^0.5)/A18stdlife))</f>
        <v>n/a</v>
      </c>
      <c r="L267" s="69" t="str">
        <f>IF(A18stdlife="n/a","n/a",IF(L$3&gt;(A18stdlife+$F267),(Input!$H$160*(1+vanilla1)^0.5)-SUM($H267:K267),(Input!$H$160*(1+vanilla1)^0.5)/A18stdlife))</f>
        <v>n/a</v>
      </c>
      <c r="M267" s="69" t="str">
        <f>IF(A18stdlife="n/a","n/a",IF(M$3&gt;(A18stdlife+$F267),(Input!$H$160*(1+vanilla1)^0.5)-SUM($H267:L267),(Input!$H$160*(1+vanilla1)^0.5)/A18stdlife))</f>
        <v>n/a</v>
      </c>
      <c r="N267" s="69" t="str">
        <f>IF(A18stdlife="n/a","n/a",IF(N$3&gt;(A18stdlife+$F267),(Input!$H$160*(1+vanilla1)^0.5)-SUM($H267:M267),(Input!$H$160*(1+vanilla1)^0.5)/A18stdlife))</f>
        <v>n/a</v>
      </c>
      <c r="O267" s="69" t="str">
        <f>IF(A18stdlife="n/a","n/a",IF(O$3&gt;(A18stdlife+$F267),(Input!$H$160*(1+vanilla1)^0.5)-SUM($H267:N267),(Input!$H$160*(1+vanilla1)^0.5)/A18stdlife))</f>
        <v>n/a</v>
      </c>
      <c r="P267" s="69" t="str">
        <f>IF(A18stdlife="n/a","n/a",IF(P$3&gt;(A18stdlife+$F267),(Input!$H$160*(1+vanilla1)^0.5)-SUM($H267:O267),(Input!$H$160*(1+vanilla1)^0.5)/A18stdlife))</f>
        <v>n/a</v>
      </c>
      <c r="Q267" s="69" t="str">
        <f>IF(A18stdlife="n/a","n/a",IF(Q$3&gt;(A18stdlife+$F267),(Input!$H$160*(1+vanilla1)^0.5)-SUM($H267:P267),(Input!$H$160*(1+vanilla1)^0.5)/A18stdlife))</f>
        <v>n/a</v>
      </c>
      <c r="R267" s="69"/>
      <c r="S267" s="104"/>
      <c r="T267" s="104"/>
      <c r="U267" s="104"/>
      <c r="V267" s="104"/>
      <c r="W267" s="104"/>
      <c r="X267" s="104"/>
      <c r="Y267" s="104"/>
      <c r="Z267" s="104"/>
      <c r="AA267" s="104"/>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37"/>
      <c r="F268" s="87">
        <v>2</v>
      </c>
      <c r="G268" s="124"/>
      <c r="H268" s="149"/>
      <c r="I268" s="150"/>
      <c r="J268" s="69" t="str">
        <f>IF(A18stdlife="n/a","n/a",IF(J$3&gt;(A18stdlife+$F268),(Input!$I$160*(1+vanilla2)^0.5)-SUM($I268:I268),(Input!$I$160*(1+vanilla2)^0.5)/A18stdlife))</f>
        <v>n/a</v>
      </c>
      <c r="K268" s="69" t="str">
        <f>IF(A18stdlife="n/a","n/a",IF(K$3&gt;(A18stdlife+$F268),(Input!$I$160*(1+vanilla2)^0.5)-SUM($I268:J268),(Input!$I$160*(1+vanilla2)^0.5)/A18stdlife))</f>
        <v>n/a</v>
      </c>
      <c r="L268" s="69" t="str">
        <f>IF(A18stdlife="n/a","n/a",IF(L$3&gt;(A18stdlife+$F268),(Input!$I$160*(1+vanilla2)^0.5)-SUM($I268:K268),(Input!$I$160*(1+vanilla2)^0.5)/A18stdlife))</f>
        <v>n/a</v>
      </c>
      <c r="M268" s="69" t="str">
        <f>IF(A18stdlife="n/a","n/a",IF(M$3&gt;(A18stdlife+$F268),(Input!$I$160*(1+vanilla2)^0.5)-SUM($I268:L268),(Input!$I$160*(1+vanilla2)^0.5)/A18stdlife))</f>
        <v>n/a</v>
      </c>
      <c r="N268" s="69" t="str">
        <f>IF(A18stdlife="n/a","n/a",IF(N$3&gt;(A18stdlife+$F268),(Input!$I$160*(1+vanilla2)^0.5)-SUM($I268:M268),(Input!$I$160*(1+vanilla2)^0.5)/A18stdlife))</f>
        <v>n/a</v>
      </c>
      <c r="O268" s="69" t="str">
        <f>IF(A18stdlife="n/a","n/a",IF(O$3&gt;(A18stdlife+$F268),(Input!$I$160*(1+vanilla2)^0.5)-SUM($I268:N268),(Input!$I$160*(1+vanilla2)^0.5)/A18stdlife))</f>
        <v>n/a</v>
      </c>
      <c r="P268" s="69" t="str">
        <f>IF(A18stdlife="n/a","n/a",IF(P$3&gt;(A18stdlife+$F268),(Input!$I$160*(1+vanilla2)^0.5)-SUM($I268:O268),(Input!$I$160*(1+vanilla2)^0.5)/A18stdlife))</f>
        <v>n/a</v>
      </c>
      <c r="Q268" s="69" t="str">
        <f>IF(A18stdlife="n/a","n/a",IF(Q$3&gt;(A18stdlife+$F268),(Input!$I$160*(1+vanilla2)^0.5)-SUM($I268:P268),(Input!$I$160*(1+vanilla2)^0.5)/A18stdlife))</f>
        <v>n/a</v>
      </c>
      <c r="R268" s="69"/>
      <c r="S268" s="104"/>
      <c r="T268" s="104"/>
      <c r="U268" s="104"/>
      <c r="V268" s="104"/>
      <c r="W268" s="104"/>
      <c r="X268" s="104"/>
      <c r="Y268" s="104"/>
      <c r="Z268" s="104"/>
      <c r="AA268" s="104"/>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37"/>
      <c r="F269" s="87">
        <v>3</v>
      </c>
      <c r="G269" s="124"/>
      <c r="H269" s="149"/>
      <c r="I269" s="151"/>
      <c r="J269" s="150"/>
      <c r="K269" s="69" t="str">
        <f>IF(A18stdlife="n/a","n/a",IF(K$3&gt;(A18stdlife+$F269),(Input!$J$160*(1+vanilla3)^0.5)-SUM($J269:J269),(Input!$J$160*(1+vanilla3)^0.5)/A18stdlife))</f>
        <v>n/a</v>
      </c>
      <c r="L269" s="69" t="str">
        <f>IF(A18stdlife="n/a","n/a",IF(L$3&gt;(A18stdlife+$F269),(Input!$J$160*(1+vanilla3)^0.5)-SUM($J269:K269),(Input!$J$160*(1+vanilla3)^0.5)/A18stdlife))</f>
        <v>n/a</v>
      </c>
      <c r="M269" s="69" t="str">
        <f>IF(A18stdlife="n/a","n/a",IF(M$3&gt;(A18stdlife+$F269),(Input!$J$160*(1+vanilla3)^0.5)-SUM($J269:L269),(Input!$J$160*(1+vanilla3)^0.5)/A18stdlife))</f>
        <v>n/a</v>
      </c>
      <c r="N269" s="69" t="str">
        <f>IF(A18stdlife="n/a","n/a",IF(N$3&gt;(A18stdlife+$F269),(Input!$J$160*(1+vanilla3)^0.5)-SUM($J269:M269),(Input!$J$160*(1+vanilla3)^0.5)/A18stdlife))</f>
        <v>n/a</v>
      </c>
      <c r="O269" s="69" t="str">
        <f>IF(A18stdlife="n/a","n/a",IF(O$3&gt;(A18stdlife+$F269),(Input!$J$160*(1+vanilla3)^0.5)-SUM($J269:N269),(Input!$J$160*(1+vanilla3)^0.5)/A18stdlife))</f>
        <v>n/a</v>
      </c>
      <c r="P269" s="69" t="str">
        <f>IF(A18stdlife="n/a","n/a",IF(P$3&gt;(A18stdlife+$F269),(Input!$J$160*(1+vanilla3)^0.5)-SUM($J269:O269),(Input!$J$160*(1+vanilla3)^0.5)/A18stdlife))</f>
        <v>n/a</v>
      </c>
      <c r="Q269" s="69" t="str">
        <f>IF(A18stdlife="n/a","n/a",IF(Q$3&gt;(A18stdlife+$F269),(Input!$J$160*(1+vanilla3)^0.5)-SUM($J269:P269),(Input!$J$160*(1+vanilla3)^0.5)/A18stdlife))</f>
        <v>n/a</v>
      </c>
      <c r="R269" s="69"/>
      <c r="S269" s="104"/>
      <c r="T269" s="104"/>
      <c r="U269" s="104"/>
      <c r="V269" s="104"/>
      <c r="W269" s="104"/>
      <c r="X269" s="104"/>
      <c r="Y269" s="104"/>
      <c r="Z269" s="104"/>
      <c r="AA269" s="104"/>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537"/>
      <c r="F270" s="87">
        <v>4</v>
      </c>
      <c r="G270" s="124"/>
      <c r="H270" s="149"/>
      <c r="I270" s="151"/>
      <c r="J270" s="151"/>
      <c r="K270" s="150"/>
      <c r="L270" s="69" t="str">
        <f>IF(A18stdlife="n/a","n/a",IF(L$3&gt;(A18stdlife+$F270),(Input!$K$160*(1+vanilla4)^0.5)-SUM($K270:K270),(Input!$K$160*(1+vanilla4)^0.5)/A18stdlife))</f>
        <v>n/a</v>
      </c>
      <c r="M270" s="69" t="str">
        <f>IF(A18stdlife="n/a","n/a",IF(M$3&gt;(A18stdlife+$F270),(Input!$K$160*(1+vanilla4)^0.5)-SUM($K270:L270),(Input!$K$160*(1+vanilla4)^0.5)/A18stdlife))</f>
        <v>n/a</v>
      </c>
      <c r="N270" s="69" t="str">
        <f>IF(A18stdlife="n/a","n/a",IF(N$3&gt;(A18stdlife+$F270),(Input!$K$160*(1+vanilla4)^0.5)-SUM($K270:M270),(Input!$K$160*(1+vanilla4)^0.5)/A18stdlife))</f>
        <v>n/a</v>
      </c>
      <c r="O270" s="69" t="str">
        <f>IF(A18stdlife="n/a","n/a",IF(O$3&gt;(A18stdlife+$F270),(Input!$K$160*(1+vanilla4)^0.5)-SUM($K270:N270),(Input!$K$160*(1+vanilla4)^0.5)/A18stdlife))</f>
        <v>n/a</v>
      </c>
      <c r="P270" s="69" t="str">
        <f>IF(A18stdlife="n/a","n/a",IF(P$3&gt;(A18stdlife+$F270),(Input!$K$160*(1+vanilla4)^0.5)-SUM($K270:O270),(Input!$K$160*(1+vanilla4)^0.5)/A18stdlife))</f>
        <v>n/a</v>
      </c>
      <c r="Q270" s="69" t="str">
        <f>IF(A18stdlife="n/a","n/a",IF(Q$3&gt;(A18stdlife+$F270),(Input!$K$160*(1+vanilla4)^0.5)-SUM($K270:P270),(Input!$K$160*(1+vanilla4)^0.5)/A18stdlife))</f>
        <v>n/a</v>
      </c>
      <c r="R270" s="69"/>
      <c r="S270" s="104"/>
      <c r="T270" s="104"/>
      <c r="U270" s="104"/>
      <c r="V270" s="104"/>
      <c r="W270" s="104"/>
      <c r="X270" s="104"/>
      <c r="Y270" s="104"/>
      <c r="Z270" s="104"/>
      <c r="AA270" s="104"/>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537"/>
      <c r="F271" s="87">
        <v>5</v>
      </c>
      <c r="G271" s="27"/>
      <c r="H271" s="149"/>
      <c r="I271" s="151"/>
      <c r="J271" s="151"/>
      <c r="K271" s="151"/>
      <c r="L271" s="150"/>
      <c r="M271" s="69" t="str">
        <f>IF(A18stdlife="n/a","n/a",IF(M$3&gt;(A18stdlife+$F271),(Input!$L$160*(1+vanilla5)^0.5)-SUM($L271:L271),(Input!$L$160*(1+vanilla5)^0.5)/A18stdlife))</f>
        <v>n/a</v>
      </c>
      <c r="N271" s="69" t="str">
        <f>IF(A18stdlife="n/a","n/a",IF(N$3&gt;(A18stdlife+$F271),(Input!$L$160*(1+vanilla5)^0.5)-SUM($L271:M271),(Input!$L$160*(1+vanilla5)^0.5)/A18stdlife))</f>
        <v>n/a</v>
      </c>
      <c r="O271" s="69" t="str">
        <f>IF(A18stdlife="n/a","n/a",IF(O$3&gt;(A18stdlife+$F271),(Input!$L$160*(1+vanilla5)^0.5)-SUM($L271:N271),(Input!$L$160*(1+vanilla5)^0.5)/A18stdlife))</f>
        <v>n/a</v>
      </c>
      <c r="P271" s="69" t="str">
        <f>IF(A18stdlife="n/a","n/a",IF(P$3&gt;(A18stdlife+$F271),(Input!$L$160*(1+vanilla5)^0.5)-SUM($L271:O271),(Input!$L$160*(1+vanilla5)^0.5)/A18stdlife))</f>
        <v>n/a</v>
      </c>
      <c r="Q271" s="69" t="str">
        <f>IF(A18stdlife="n/a","n/a",IF(Q$3&gt;(A18stdlife+$F271),(Input!$L$160*(1+vanilla5)^0.5)-SUM($L271:P271),(Input!$L$160*(1+vanilla5)^0.5)/A18stdlife))</f>
        <v>n/a</v>
      </c>
      <c r="R271" s="69"/>
      <c r="S271" s="104"/>
      <c r="T271" s="104"/>
      <c r="U271" s="104"/>
      <c r="V271" s="104"/>
      <c r="W271" s="104"/>
      <c r="X271" s="104"/>
      <c r="Y271" s="104"/>
      <c r="Z271" s="104"/>
      <c r="AA271" s="104"/>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537"/>
      <c r="F272" s="87">
        <v>6</v>
      </c>
      <c r="G272" s="27"/>
      <c r="H272" s="149"/>
      <c r="I272" s="151"/>
      <c r="J272" s="151"/>
      <c r="K272" s="151"/>
      <c r="L272" s="151"/>
      <c r="M272" s="150"/>
      <c r="N272" s="69" t="str">
        <f>IF(A18stdlife="n/a","n/a",IF(N$3&gt;(A18stdlife+$F272),(Input!$M$160*(1+vanilla6)^0.5)-SUM($M272:M272),(Input!$M$160*(1+vanilla6)^0.5)/A18stdlife))</f>
        <v>n/a</v>
      </c>
      <c r="O272" s="69" t="str">
        <f>IF(A18stdlife="n/a","n/a",IF(O$3&gt;(A18stdlife+$F272),(Input!$M$160*(1+vanilla6)^0.5)-SUM($M272:N272),(Input!$M$160*(1+vanilla6)^0.5)/A18stdlife))</f>
        <v>n/a</v>
      </c>
      <c r="P272" s="69" t="str">
        <f>IF(A18stdlife="n/a","n/a",IF(P$3&gt;(A18stdlife+$F272),(Input!$M$160*(1+vanilla6)^0.5)-SUM($M272:O272),(Input!$M$160*(1+vanilla6)^0.5)/A18stdlife))</f>
        <v>n/a</v>
      </c>
      <c r="Q272" s="69" t="str">
        <f>IF(A18stdlife="n/a","n/a",IF(Q$3&gt;(A18stdlife+$F272),(Input!$M$160*(1+vanilla6)^0.5)-SUM($M272:P272),(Input!$M$160*(1+vanilla6)^0.5)/A18stdlife))</f>
        <v>n/a</v>
      </c>
      <c r="R272" s="69"/>
      <c r="S272" s="104"/>
      <c r="T272" s="104"/>
      <c r="U272" s="104"/>
      <c r="V272" s="104"/>
      <c r="W272" s="104"/>
      <c r="X272" s="104"/>
      <c r="Y272" s="104"/>
      <c r="Z272" s="104"/>
      <c r="AA272" s="104"/>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37"/>
      <c r="F273" s="87">
        <v>7</v>
      </c>
      <c r="G273" s="27"/>
      <c r="H273" s="149"/>
      <c r="I273" s="151"/>
      <c r="J273" s="151"/>
      <c r="K273" s="151"/>
      <c r="L273" s="151"/>
      <c r="M273" s="151"/>
      <c r="N273" s="150"/>
      <c r="O273" s="69" t="str">
        <f>IF(A18stdlife="n/a","n/a",IF(O$3&gt;(A18stdlife+$F273),(Input!$N$160*(1+vanilla7)^0.5)-SUM($N273:N273),(Input!$N$160*(1+vanilla7)^0.5)/A18stdlife))</f>
        <v>n/a</v>
      </c>
      <c r="P273" s="69" t="str">
        <f>IF(A18stdlife="n/a","n/a",IF(P$3&gt;(A18stdlife+$F273),(Input!$N$160*(1+vanilla7)^0.5)-SUM($N273:O273),(Input!$N$160*(1+vanilla7)^0.5)/A18stdlife))</f>
        <v>n/a</v>
      </c>
      <c r="Q273" s="69" t="str">
        <f>IF(A18stdlife="n/a","n/a",IF(Q$3&gt;(A18stdlife+$F273),(Input!$N$160*(1+vanilla7)^0.5)-SUM($N273:P273),(Input!$N$160*(1+vanilla7)^0.5)/A18stdlife))</f>
        <v>n/a</v>
      </c>
      <c r="R273" s="69"/>
      <c r="S273" s="104"/>
      <c r="T273" s="104"/>
      <c r="U273" s="104"/>
      <c r="V273" s="104"/>
      <c r="W273" s="104"/>
      <c r="X273" s="104"/>
      <c r="Y273" s="104"/>
      <c r="Z273" s="104"/>
      <c r="AA273" s="104"/>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37"/>
      <c r="F274" s="87">
        <v>8</v>
      </c>
      <c r="G274" s="27"/>
      <c r="H274" s="149"/>
      <c r="I274" s="151"/>
      <c r="J274" s="151"/>
      <c r="K274" s="151"/>
      <c r="L274" s="151"/>
      <c r="M274" s="151"/>
      <c r="N274" s="151"/>
      <c r="O274" s="150"/>
      <c r="P274" s="69" t="str">
        <f>IF(A18stdlife="n/a","n/a",IF(P$3&gt;(A18stdlife+$F274),(Input!$O$160*(1+vanilla8)^0.5)-SUM($O274:O274),(Input!$O$160*(1+vanilla8)^0.5)/A18stdlife))</f>
        <v>n/a</v>
      </c>
      <c r="Q274" s="69" t="str">
        <f>IF(A18stdlife="n/a","n/a",IF(Q$3&gt;(A18stdlife+$F274),(Input!$O$160*(1+vanilla8)^0.5)-SUM($O274:P274),(Input!$O$160*(1+vanilla8)^0.5)/A18stdlife))</f>
        <v>n/a</v>
      </c>
      <c r="R274" s="69"/>
      <c r="S274" s="104"/>
      <c r="T274" s="104"/>
      <c r="U274" s="104"/>
      <c r="V274" s="104"/>
      <c r="W274" s="104"/>
      <c r="X274" s="104"/>
      <c r="Y274" s="104"/>
      <c r="Z274" s="104"/>
      <c r="AA274" s="104"/>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37"/>
      <c r="F275" s="87">
        <v>9</v>
      </c>
      <c r="G275" s="27"/>
      <c r="H275" s="149"/>
      <c r="I275" s="151"/>
      <c r="J275" s="151"/>
      <c r="K275" s="151"/>
      <c r="L275" s="151"/>
      <c r="M275" s="151"/>
      <c r="N275" s="151"/>
      <c r="O275" s="151"/>
      <c r="P275" s="150"/>
      <c r="Q275" s="69" t="str">
        <f>IF(A18stdlife="n/a","n/a",IF(Q$3&gt;(A18stdlife+$F275),(Input!$P$160*(1+vanilla9)^0.5)-SUM($P275:P275),(Input!$P$160*(1+vanilla9)^0.5)/A18stdlife))</f>
        <v>n/a</v>
      </c>
      <c r="R275" s="69"/>
      <c r="S275" s="104"/>
      <c r="T275" s="104"/>
      <c r="U275" s="104"/>
      <c r="V275" s="104"/>
      <c r="W275" s="104"/>
      <c r="X275" s="104"/>
      <c r="Y275" s="104"/>
      <c r="Z275" s="104"/>
      <c r="AA275" s="104"/>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37"/>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8"/>
      <c r="H278" s="68" t="str">
        <f>IF(H$3&gt;A19remlife,A19value-SUM($G278:G278),IF(A19remlife="N/A","n/a",A19value/A19remlife))</f>
        <v>n/a</v>
      </c>
      <c r="I278" s="68" t="str">
        <f>IF(I$3&gt;A19remlife,A19value-SUM($G278:H278),IF(A19remlife="N/A","n/a",A19value/A19remlife))</f>
        <v>n/a</v>
      </c>
      <c r="J278" s="68" t="str">
        <f>IF(J$3&gt;A19remlife,A19value-SUM($G278:I278),IF(A19remlife="N/A","n/a",A19value/A19remlife))</f>
        <v>n/a</v>
      </c>
      <c r="K278" s="68" t="str">
        <f>IF(K$3&gt;A19remlife,A19value-SUM($G278:J278),IF(A19remlife="N/A","n/a",A19value/A19remlife))</f>
        <v>n/a</v>
      </c>
      <c r="L278" s="68" t="str">
        <f>IF(L$3&gt;A19remlife,A19value-SUM($G278:K278),IF(A19remlife="N/A","n/a",A19value/A19remlife))</f>
        <v>n/a</v>
      </c>
      <c r="M278" s="68" t="str">
        <f>IF(M$3&gt;A19remlife,A19value-SUM($G278:L278),IF(A19remlife="N/A","n/a",A19value/A19remlife))</f>
        <v>n/a</v>
      </c>
      <c r="N278" s="68" t="str">
        <f>IF(N$3&gt;A19remlife,A19value-SUM($G278:M278),IF(A19remlife="N/A","n/a",A19value/A19remlife))</f>
        <v>n/a</v>
      </c>
      <c r="O278" s="68" t="str">
        <f>IF(O$3&gt;A19remlife,A19value-SUM($G278:N278),IF(A19remlife="N/A","n/a",A19value/A19remlife))</f>
        <v>n/a</v>
      </c>
      <c r="P278" s="68" t="str">
        <f>IF(P$3&gt;A19remlife,A19value-SUM($G278:O278),IF(A19remlife="N/A","n/a",A19value/A19remlife))</f>
        <v>n/a</v>
      </c>
      <c r="Q278" s="68" t="str">
        <f>IF(Q$3&gt;A19remlife,A19value-SUM($G278:P278),IF(A19remlife="N/A","n/a",A19value/A19remlife))</f>
        <v>n/a</v>
      </c>
      <c r="R278" s="68"/>
      <c r="S278" s="104"/>
      <c r="T278" s="104"/>
      <c r="U278" s="104"/>
      <c r="V278" s="104"/>
      <c r="W278" s="104"/>
      <c r="X278" s="104"/>
      <c r="Y278" s="104"/>
      <c r="Z278" s="104"/>
      <c r="AA278" s="104"/>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536" t="s">
        <v>86</v>
      </c>
      <c r="F279" s="87">
        <v>0</v>
      </c>
      <c r="G279" s="124"/>
      <c r="H279" s="69"/>
      <c r="I279" s="69"/>
      <c r="J279" s="69"/>
      <c r="K279" s="69"/>
      <c r="L279" s="69"/>
      <c r="M279" s="166"/>
      <c r="N279" s="113"/>
      <c r="O279" s="69"/>
      <c r="P279" s="69"/>
      <c r="Q279" s="69"/>
      <c r="R279" s="69"/>
      <c r="S279" s="104"/>
      <c r="T279" s="104"/>
      <c r="U279" s="104"/>
      <c r="V279" s="104"/>
      <c r="W279" s="104"/>
      <c r="X279" s="104"/>
      <c r="Y279" s="104"/>
      <c r="Z279" s="104"/>
      <c r="AA279" s="104"/>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37"/>
      <c r="F280" s="87">
        <v>1</v>
      </c>
      <c r="G280" s="124"/>
      <c r="H280" s="148"/>
      <c r="I280" s="69" t="str">
        <f>IF(A19stdlife="n/a","n/a",IF(I$3&gt;(A19stdlife+$F280),(Input!$H$161*(1+vanilla1)^0.5)-SUM($H280:H280),(Input!$H$161*(1+vanilla1)^0.5)/A19stdlife))</f>
        <v>n/a</v>
      </c>
      <c r="J280" s="69" t="str">
        <f>IF(A19stdlife="n/a","n/a",IF(J$3&gt;(A19stdlife+$F280),(Input!$H$161*(1+vanilla1)^0.5)-SUM($H280:I280),(Input!$H$161*(1+vanilla1)^0.5)/A19stdlife))</f>
        <v>n/a</v>
      </c>
      <c r="K280" s="69" t="str">
        <f>IF(A19stdlife="n/a","n/a",IF(K$3&gt;(A19stdlife+$F280),(Input!$H$161*(1+vanilla1)^0.5)-SUM($H280:J280),(Input!$H$161*(1+vanilla1)^0.5)/A19stdlife))</f>
        <v>n/a</v>
      </c>
      <c r="L280" s="69" t="str">
        <f>IF(A19stdlife="n/a","n/a",IF(L$3&gt;(A19stdlife+$F280),(Input!$H$161*(1+vanilla1)^0.5)-SUM($H280:K280),(Input!$H$161*(1+vanilla1)^0.5)/A19stdlife))</f>
        <v>n/a</v>
      </c>
      <c r="M280" s="69" t="str">
        <f>IF(A19stdlife="n/a","n/a",IF(M$3&gt;(A19stdlife+$F280),(Input!$H$161*(1+vanilla1)^0.5)-SUM($H280:L280),(Input!$H$161*(1+vanilla1)^0.5)/A19stdlife))</f>
        <v>n/a</v>
      </c>
      <c r="N280" s="69" t="str">
        <f>IF(A19stdlife="n/a","n/a",IF(N$3&gt;(A19stdlife+$F280),(Input!$H$161*(1+vanilla1)^0.5)-SUM($H280:M280),(Input!$H$161*(1+vanilla1)^0.5)/A19stdlife))</f>
        <v>n/a</v>
      </c>
      <c r="O280" s="69" t="str">
        <f>IF(A19stdlife="n/a","n/a",IF(O$3&gt;(A19stdlife+$F280),(Input!$H$161*(1+vanilla1)^0.5)-SUM($H280:N280),(Input!$H$161*(1+vanilla1)^0.5)/A19stdlife))</f>
        <v>n/a</v>
      </c>
      <c r="P280" s="69" t="str">
        <f>IF(A19stdlife="n/a","n/a",IF(P$3&gt;(A19stdlife+$F280),(Input!$H$161*(1+vanilla1)^0.5)-SUM($H280:O280),(Input!$H$161*(1+vanilla1)^0.5)/A19stdlife))</f>
        <v>n/a</v>
      </c>
      <c r="Q280" s="69" t="str">
        <f>IF(A19stdlife="n/a","n/a",IF(Q$3&gt;(A19stdlife+$F280),(Input!$H$161*(1+vanilla1)^0.5)-SUM($H280:P280),(Input!$H$161*(1+vanilla1)^0.5)/A19stdlife))</f>
        <v>n/a</v>
      </c>
      <c r="R280" s="69"/>
      <c r="S280" s="104"/>
      <c r="T280" s="104"/>
      <c r="U280" s="104"/>
      <c r="V280" s="104"/>
      <c r="W280" s="104"/>
      <c r="X280" s="104"/>
      <c r="Y280" s="104"/>
      <c r="Z280" s="104"/>
      <c r="AA280" s="104"/>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37"/>
      <c r="F281" s="87">
        <v>2</v>
      </c>
      <c r="G281" s="124"/>
      <c r="H281" s="149"/>
      <c r="I281" s="150"/>
      <c r="J281" s="69" t="str">
        <f>IF(A19stdlife="n/a","n/a",IF(J$3&gt;(A19stdlife+$F281),(Input!$I$161*(1+vanilla2)^0.5)-SUM($I281:I281),(Input!$I$161*(1+vanilla2)^0.5)/A19stdlife))</f>
        <v>n/a</v>
      </c>
      <c r="K281" s="69" t="str">
        <f>IF(A19stdlife="n/a","n/a",IF(K$3&gt;(A19stdlife+$F281),(Input!$I$161*(1+vanilla2)^0.5)-SUM($I281:J281),(Input!$I$161*(1+vanilla2)^0.5)/A19stdlife))</f>
        <v>n/a</v>
      </c>
      <c r="L281" s="69" t="str">
        <f>IF(A19stdlife="n/a","n/a",IF(L$3&gt;(A19stdlife+$F281),(Input!$I$161*(1+vanilla2)^0.5)-SUM($I281:K281),(Input!$I$161*(1+vanilla2)^0.5)/A19stdlife))</f>
        <v>n/a</v>
      </c>
      <c r="M281" s="69" t="str">
        <f>IF(A19stdlife="n/a","n/a",IF(M$3&gt;(A19stdlife+$F281),(Input!$I$161*(1+vanilla2)^0.5)-SUM($I281:L281),(Input!$I$161*(1+vanilla2)^0.5)/A19stdlife))</f>
        <v>n/a</v>
      </c>
      <c r="N281" s="69" t="str">
        <f>IF(A19stdlife="n/a","n/a",IF(N$3&gt;(A19stdlife+$F281),(Input!$I$161*(1+vanilla2)^0.5)-SUM($I281:M281),(Input!$I$161*(1+vanilla2)^0.5)/A19stdlife))</f>
        <v>n/a</v>
      </c>
      <c r="O281" s="69" t="str">
        <f>IF(A19stdlife="n/a","n/a",IF(O$3&gt;(A19stdlife+$F281),(Input!$I$161*(1+vanilla2)^0.5)-SUM($I281:N281),(Input!$I$161*(1+vanilla2)^0.5)/A19stdlife))</f>
        <v>n/a</v>
      </c>
      <c r="P281" s="69" t="str">
        <f>IF(A19stdlife="n/a","n/a",IF(P$3&gt;(A19stdlife+$F281),(Input!$I$161*(1+vanilla2)^0.5)-SUM($I281:O281),(Input!$I$161*(1+vanilla2)^0.5)/A19stdlife))</f>
        <v>n/a</v>
      </c>
      <c r="Q281" s="69" t="str">
        <f>IF(A19stdlife="n/a","n/a",IF(Q$3&gt;(A19stdlife+$F281),(Input!$I$161*(1+vanilla2)^0.5)-SUM($I281:P281),(Input!$I$161*(1+vanilla2)^0.5)/A19stdlife))</f>
        <v>n/a</v>
      </c>
      <c r="R281" s="69"/>
      <c r="S281" s="104"/>
      <c r="T281" s="104"/>
      <c r="U281" s="104"/>
      <c r="V281" s="104"/>
      <c r="W281" s="104"/>
      <c r="X281" s="104"/>
      <c r="Y281" s="104"/>
      <c r="Z281" s="104"/>
      <c r="AA281" s="104"/>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37"/>
      <c r="F282" s="87">
        <v>3</v>
      </c>
      <c r="G282" s="124"/>
      <c r="H282" s="149"/>
      <c r="I282" s="151"/>
      <c r="J282" s="150"/>
      <c r="K282" s="69" t="str">
        <f>IF(A19stdlife="n/a","n/a",IF(K$3&gt;(A19stdlife+$F282),(Input!$J$161*(1+vanilla3)^0.5)-SUM($J282:J282),(Input!$J$161*(1+vanilla3)^0.5)/A19stdlife))</f>
        <v>n/a</v>
      </c>
      <c r="L282" s="69" t="str">
        <f>IF(A19stdlife="n/a","n/a",IF(L$3&gt;(A19stdlife+$F282),(Input!$J$161*(1+vanilla3)^0.5)-SUM($J282:K282),(Input!$J$161*(1+vanilla3)^0.5)/A19stdlife))</f>
        <v>n/a</v>
      </c>
      <c r="M282" s="69" t="str">
        <f>IF(A19stdlife="n/a","n/a",IF(M$3&gt;(A19stdlife+$F282),(Input!$J$161*(1+vanilla3)^0.5)-SUM($J282:L282),(Input!$J$161*(1+vanilla3)^0.5)/A19stdlife))</f>
        <v>n/a</v>
      </c>
      <c r="N282" s="69" t="str">
        <f>IF(A19stdlife="n/a","n/a",IF(N$3&gt;(A19stdlife+$F282),(Input!$J$161*(1+vanilla3)^0.5)-SUM($J282:M282),(Input!$J$161*(1+vanilla3)^0.5)/A19stdlife))</f>
        <v>n/a</v>
      </c>
      <c r="O282" s="69" t="str">
        <f>IF(A19stdlife="n/a","n/a",IF(O$3&gt;(A19stdlife+$F282),(Input!$J$161*(1+vanilla3)^0.5)-SUM($J282:N282),(Input!$J$161*(1+vanilla3)^0.5)/A19stdlife))</f>
        <v>n/a</v>
      </c>
      <c r="P282" s="69" t="str">
        <f>IF(A19stdlife="n/a","n/a",IF(P$3&gt;(A19stdlife+$F282),(Input!$J$161*(1+vanilla3)^0.5)-SUM($J282:O282),(Input!$J$161*(1+vanilla3)^0.5)/A19stdlife))</f>
        <v>n/a</v>
      </c>
      <c r="Q282" s="69" t="str">
        <f>IF(A19stdlife="n/a","n/a",IF(Q$3&gt;(A19stdlife+$F282),(Input!$J$161*(1+vanilla3)^0.5)-SUM($J282:P282),(Input!$J$161*(1+vanilla3)^0.5)/A19stdlife))</f>
        <v>n/a</v>
      </c>
      <c r="R282" s="69"/>
      <c r="S282" s="104"/>
      <c r="T282" s="104"/>
      <c r="U282" s="104"/>
      <c r="V282" s="104"/>
      <c r="W282" s="104"/>
      <c r="X282" s="104"/>
      <c r="Y282" s="104"/>
      <c r="Z282" s="104"/>
      <c r="AA282" s="104"/>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537"/>
      <c r="F283" s="87">
        <v>4</v>
      </c>
      <c r="G283" s="124"/>
      <c r="H283" s="149"/>
      <c r="I283" s="151"/>
      <c r="J283" s="151"/>
      <c r="K283" s="150"/>
      <c r="L283" s="69" t="str">
        <f>IF(A19stdlife="n/a","n/a",IF(L$3&gt;(A19stdlife+$F283),(Input!$K$161*(1+vanilla4)^0.5)-SUM($K283:K283),(Input!$K$161*(1+vanilla4)^0.5)/A19stdlife))</f>
        <v>n/a</v>
      </c>
      <c r="M283" s="69" t="str">
        <f>IF(A19stdlife="n/a","n/a",IF(M$3&gt;(A19stdlife+$F283),(Input!$K$161*(1+vanilla4)^0.5)-SUM($K283:L283),(Input!$K$161*(1+vanilla4)^0.5)/A19stdlife))</f>
        <v>n/a</v>
      </c>
      <c r="N283" s="69" t="str">
        <f>IF(A19stdlife="n/a","n/a",IF(N$3&gt;(A19stdlife+$F283),(Input!$K$161*(1+vanilla4)^0.5)-SUM($K283:M283),(Input!$K$161*(1+vanilla4)^0.5)/A19stdlife))</f>
        <v>n/a</v>
      </c>
      <c r="O283" s="69" t="str">
        <f>IF(A19stdlife="n/a","n/a",IF(O$3&gt;(A19stdlife+$F283),(Input!$K$161*(1+vanilla4)^0.5)-SUM($K283:N283),(Input!$K$161*(1+vanilla4)^0.5)/A19stdlife))</f>
        <v>n/a</v>
      </c>
      <c r="P283" s="69" t="str">
        <f>IF(A19stdlife="n/a","n/a",IF(P$3&gt;(A19stdlife+$F283),(Input!$K$161*(1+vanilla4)^0.5)-SUM($K283:O283),(Input!$K$161*(1+vanilla4)^0.5)/A19stdlife))</f>
        <v>n/a</v>
      </c>
      <c r="Q283" s="69" t="str">
        <f>IF(A19stdlife="n/a","n/a",IF(Q$3&gt;(A19stdlife+$F283),(Input!$K$161*(1+vanilla4)^0.5)-SUM($K283:P283),(Input!$K$161*(1+vanilla4)^0.5)/A19stdlife))</f>
        <v>n/a</v>
      </c>
      <c r="R283" s="69"/>
      <c r="S283" s="104"/>
      <c r="T283" s="104"/>
      <c r="U283" s="104"/>
      <c r="V283" s="104"/>
      <c r="W283" s="104"/>
      <c r="X283" s="104"/>
      <c r="Y283" s="104"/>
      <c r="Z283" s="104"/>
      <c r="AA283" s="104"/>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537"/>
      <c r="F284" s="87">
        <v>5</v>
      </c>
      <c r="G284" s="27"/>
      <c r="H284" s="149"/>
      <c r="I284" s="151"/>
      <c r="J284" s="151"/>
      <c r="K284" s="151"/>
      <c r="L284" s="150"/>
      <c r="M284" s="69" t="str">
        <f>IF(A19stdlife="n/a","n/a",IF(M$3&gt;(A19stdlife+$F284),(Input!$L$161*(1+vanilla5)^0.5)-SUM($L284:L284),(Input!$L$161*(1+vanilla5)^0.5)/A19stdlife))</f>
        <v>n/a</v>
      </c>
      <c r="N284" s="69" t="str">
        <f>IF(A19stdlife="n/a","n/a",IF(N$3&gt;(A19stdlife+$F284),(Input!$L$161*(1+vanilla5)^0.5)-SUM($L284:M284),(Input!$L$161*(1+vanilla5)^0.5)/A19stdlife))</f>
        <v>n/a</v>
      </c>
      <c r="O284" s="69" t="str">
        <f>IF(A19stdlife="n/a","n/a",IF(O$3&gt;(A19stdlife+$F284),(Input!$L$161*(1+vanilla5)^0.5)-SUM($L284:N284),(Input!$L$161*(1+vanilla5)^0.5)/A19stdlife))</f>
        <v>n/a</v>
      </c>
      <c r="P284" s="69" t="str">
        <f>IF(A19stdlife="n/a","n/a",IF(P$3&gt;(A19stdlife+$F284),(Input!$L$161*(1+vanilla5)^0.5)-SUM($L284:O284),(Input!$L$161*(1+vanilla5)^0.5)/A19stdlife))</f>
        <v>n/a</v>
      </c>
      <c r="Q284" s="69" t="str">
        <f>IF(A19stdlife="n/a","n/a",IF(Q$3&gt;(A19stdlife+$F284),(Input!$L$161*(1+vanilla5)^0.5)-SUM($L284:P284),(Input!$L$161*(1+vanilla5)^0.5)/A19stdlife))</f>
        <v>n/a</v>
      </c>
      <c r="R284" s="69"/>
      <c r="S284" s="104"/>
      <c r="T284" s="104"/>
      <c r="U284" s="104"/>
      <c r="V284" s="104"/>
      <c r="W284" s="104"/>
      <c r="X284" s="104"/>
      <c r="Y284" s="104"/>
      <c r="Z284" s="104"/>
      <c r="AA284" s="104"/>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537"/>
      <c r="F285" s="87">
        <v>6</v>
      </c>
      <c r="G285" s="27"/>
      <c r="H285" s="149"/>
      <c r="I285" s="151"/>
      <c r="J285" s="151"/>
      <c r="K285" s="151"/>
      <c r="L285" s="151"/>
      <c r="M285" s="150"/>
      <c r="N285" s="69" t="str">
        <f>IF(A19stdlife="n/a","n/a",IF(N$3&gt;(A19stdlife+$F285),(Input!$M$161*(1+vanilla6)^0.5)-SUM($M285:M285),(Input!$M$161*(1+vanilla6)^0.5)/A19stdlife))</f>
        <v>n/a</v>
      </c>
      <c r="O285" s="69" t="str">
        <f>IF(A19stdlife="n/a","n/a",IF(O$3&gt;(A19stdlife+$F285),(Input!$M$161*(1+vanilla6)^0.5)-SUM($M285:N285),(Input!$M$161*(1+vanilla6)^0.5)/A19stdlife))</f>
        <v>n/a</v>
      </c>
      <c r="P285" s="69" t="str">
        <f>IF(A19stdlife="n/a","n/a",IF(P$3&gt;(A19stdlife+$F285),(Input!$M$161*(1+vanilla6)^0.5)-SUM($M285:O285),(Input!$M$161*(1+vanilla6)^0.5)/A19stdlife))</f>
        <v>n/a</v>
      </c>
      <c r="Q285" s="69" t="str">
        <f>IF(A19stdlife="n/a","n/a",IF(Q$3&gt;(A19stdlife+$F285),(Input!$M$161*(1+vanilla6)^0.5)-SUM($M285:P285),(Input!$M$161*(1+vanilla6)^0.5)/A19stdlife))</f>
        <v>n/a</v>
      </c>
      <c r="R285" s="69"/>
      <c r="S285" s="104"/>
      <c r="T285" s="104"/>
      <c r="U285" s="104"/>
      <c r="V285" s="104"/>
      <c r="W285" s="104"/>
      <c r="X285" s="104"/>
      <c r="Y285" s="104"/>
      <c r="Z285" s="104"/>
      <c r="AA285" s="104"/>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37"/>
      <c r="F286" s="87">
        <v>7</v>
      </c>
      <c r="G286" s="27"/>
      <c r="H286" s="149"/>
      <c r="I286" s="151"/>
      <c r="J286" s="151"/>
      <c r="K286" s="151"/>
      <c r="L286" s="151"/>
      <c r="M286" s="151"/>
      <c r="N286" s="150"/>
      <c r="O286" s="69" t="str">
        <f>IF(A19stdlife="n/a","n/a",IF(O$3&gt;(A19stdlife+$F286),(Input!$N$161*(1+vanilla7)^0.5)-SUM($N286:N286),(Input!$N$161*(1+vanilla7)^0.5)/A19stdlife))</f>
        <v>n/a</v>
      </c>
      <c r="P286" s="69" t="str">
        <f>IF(A19stdlife="n/a","n/a",IF(P$3&gt;(A19stdlife+$F286),(Input!$N$161*(1+vanilla7)^0.5)-SUM($N286:O286),(Input!$N$161*(1+vanilla7)^0.5)/A19stdlife))</f>
        <v>n/a</v>
      </c>
      <c r="Q286" s="69" t="str">
        <f>IF(A19stdlife="n/a","n/a",IF(Q$3&gt;(A19stdlife+$F286),(Input!$N$161*(1+vanilla7)^0.5)-SUM($N286:P286),(Input!$N$161*(1+vanilla7)^0.5)/A19stdlife))</f>
        <v>n/a</v>
      </c>
      <c r="R286" s="69"/>
      <c r="S286" s="104"/>
      <c r="T286" s="104"/>
      <c r="U286" s="104"/>
      <c r="V286" s="104"/>
      <c r="W286" s="104"/>
      <c r="X286" s="104"/>
      <c r="Y286" s="104"/>
      <c r="Z286" s="104"/>
      <c r="AA286" s="104"/>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37"/>
      <c r="F287" s="87">
        <v>8</v>
      </c>
      <c r="G287" s="27"/>
      <c r="H287" s="149"/>
      <c r="I287" s="151"/>
      <c r="J287" s="151"/>
      <c r="K287" s="151"/>
      <c r="L287" s="151"/>
      <c r="M287" s="151"/>
      <c r="N287" s="151"/>
      <c r="O287" s="150"/>
      <c r="P287" s="69" t="str">
        <f>IF(A19stdlife="n/a","n/a",IF(P$3&gt;(A19stdlife+$F287),(Input!$O$161*(1+vanilla8)^0.5)-SUM($O287:O287),(Input!$O$161*(1+vanilla8)^0.5)/A19stdlife))</f>
        <v>n/a</v>
      </c>
      <c r="Q287" s="69" t="str">
        <f>IF(A19stdlife="n/a","n/a",IF(Q$3&gt;(A19stdlife+$F287),(Input!$O$161*(1+vanilla8)^0.5)-SUM($O287:P287),(Input!$O$161*(1+vanilla8)^0.5)/A19stdlife))</f>
        <v>n/a</v>
      </c>
      <c r="R287" s="69"/>
      <c r="S287" s="104"/>
      <c r="T287" s="104"/>
      <c r="U287" s="104"/>
      <c r="V287" s="104"/>
      <c r="W287" s="104"/>
      <c r="X287" s="104"/>
      <c r="Y287" s="104"/>
      <c r="Z287" s="104"/>
      <c r="AA287" s="104"/>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37"/>
      <c r="F288" s="87">
        <v>9</v>
      </c>
      <c r="G288" s="27"/>
      <c r="H288" s="149"/>
      <c r="I288" s="151"/>
      <c r="J288" s="151"/>
      <c r="K288" s="151"/>
      <c r="L288" s="151"/>
      <c r="M288" s="151"/>
      <c r="N288" s="151"/>
      <c r="O288" s="151"/>
      <c r="P288" s="150"/>
      <c r="Q288" s="69" t="str">
        <f>IF(A19stdlife="n/a","n/a",IF(Q$3&gt;(A19stdlife+$F288),(Input!$P$161*(1+vanilla9)^0.5)-SUM($P288:P288),(Input!$P$161*(1+vanilla9)^0.5)/A19stdlife))</f>
        <v>n/a</v>
      </c>
      <c r="R288" s="69"/>
      <c r="S288" s="104"/>
      <c r="T288" s="104"/>
      <c r="U288" s="104"/>
      <c r="V288" s="104"/>
      <c r="W288" s="104"/>
      <c r="X288" s="104"/>
      <c r="Y288" s="104"/>
      <c r="Z288" s="104"/>
      <c r="AA288" s="104"/>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37"/>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8"/>
      <c r="H291" s="68" t="str">
        <f>IF(H$3&gt;A20remlife,A20value-SUM($G291:G291),IF(A20remlife="N/A","n/a",A20value/A20remlife))</f>
        <v>n/a</v>
      </c>
      <c r="I291" s="68" t="str">
        <f>IF(I$3&gt;A20remlife,A20value-SUM($G291:H291),IF(A20remlife="N/A","n/a",A20value/A20remlife))</f>
        <v>n/a</v>
      </c>
      <c r="J291" s="68" t="str">
        <f>IF(J$3&gt;A20remlife,A20value-SUM($G291:I291),IF(A20remlife="N/A","n/a",A20value/A20remlife))</f>
        <v>n/a</v>
      </c>
      <c r="K291" s="68" t="str">
        <f>IF(K$3&gt;A20remlife,A20value-SUM($G291:J291),IF(A20remlife="N/A","n/a",A20value/A20remlife))</f>
        <v>n/a</v>
      </c>
      <c r="L291" s="68" t="str">
        <f>IF(L$3&gt;A20remlife,A20value-SUM($G291:K291),IF(A20remlife="N/A","n/a",A20value/A20remlife))</f>
        <v>n/a</v>
      </c>
      <c r="M291" s="68" t="str">
        <f>IF(M$3&gt;A20remlife,A20value-SUM($G291:L291),IF(A20remlife="N/A","n/a",A20value/A20remlife))</f>
        <v>n/a</v>
      </c>
      <c r="N291" s="68" t="str">
        <f>IF(N$3&gt;A20remlife,A20value-SUM($G291:M291),IF(A20remlife="N/A","n/a",A20value/A20remlife))</f>
        <v>n/a</v>
      </c>
      <c r="O291" s="68" t="str">
        <f>IF(O$3&gt;A20remlife,A20value-SUM($G291:N291),IF(A20remlife="N/A","n/a",A20value/A20remlife))</f>
        <v>n/a</v>
      </c>
      <c r="P291" s="68" t="str">
        <f>IF(P$3&gt;A20remlife,A20value-SUM($G291:O291),IF(A20remlife="N/A","n/a",A20value/A20remlife))</f>
        <v>n/a</v>
      </c>
      <c r="Q291" s="68" t="str">
        <f>IF(Q$3&gt;A20remlife,A20value-SUM($G291:P291),IF(A20remlife="N/A","n/a",A20value/A20remlife))</f>
        <v>n/a</v>
      </c>
      <c r="R291" s="68"/>
      <c r="S291" s="104"/>
      <c r="T291" s="104"/>
      <c r="U291" s="104"/>
      <c r="V291" s="104"/>
      <c r="W291" s="104"/>
      <c r="X291" s="104"/>
      <c r="Y291" s="104"/>
      <c r="Z291" s="104"/>
      <c r="AA291" s="104"/>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536" t="s">
        <v>86</v>
      </c>
      <c r="F292" s="87">
        <v>0</v>
      </c>
      <c r="G292" s="124"/>
      <c r="H292" s="69"/>
      <c r="I292" s="69"/>
      <c r="J292" s="69"/>
      <c r="K292" s="69"/>
      <c r="L292" s="69"/>
      <c r="M292" s="166"/>
      <c r="N292" s="113"/>
      <c r="O292" s="69"/>
      <c r="P292" s="69"/>
      <c r="Q292" s="69"/>
      <c r="R292" s="69"/>
      <c r="S292" s="104"/>
      <c r="T292" s="104"/>
      <c r="U292" s="104"/>
      <c r="V292" s="104"/>
      <c r="W292" s="104"/>
      <c r="X292" s="104"/>
      <c r="Y292" s="104"/>
      <c r="Z292" s="104"/>
      <c r="AA292" s="104"/>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37"/>
      <c r="F293" s="87">
        <v>1</v>
      </c>
      <c r="G293" s="124"/>
      <c r="H293" s="148"/>
      <c r="I293" s="69" t="str">
        <f>IF(A20stdlife="n/a","n/a",IF(I$3&gt;(A20stdlife+$F293),(Input!$H$162*(1+vanilla1)^0.5)-SUM($H293:H293),(Input!$H$162*(1+vanilla1)^0.5)/A20stdlife))</f>
        <v>n/a</v>
      </c>
      <c r="J293" s="69" t="str">
        <f>IF(A20stdlife="n/a","n/a",IF(J$3&gt;(A20stdlife+$F293),(Input!$H$162*(1+vanilla1)^0.5)-SUM($H293:I293),(Input!$H$162*(1+vanilla1)^0.5)/A20stdlife))</f>
        <v>n/a</v>
      </c>
      <c r="K293" s="69" t="str">
        <f>IF(A20stdlife="n/a","n/a",IF(K$3&gt;(A20stdlife+$F293),(Input!$H$162*(1+vanilla1)^0.5)-SUM($H293:J293),(Input!$H$162*(1+vanilla1)^0.5)/A20stdlife))</f>
        <v>n/a</v>
      </c>
      <c r="L293" s="69" t="str">
        <f>IF(A20stdlife="n/a","n/a",IF(L$3&gt;(A20stdlife+$F293),(Input!$H$162*(1+vanilla1)^0.5)-SUM($H293:K293),(Input!$H$162*(1+vanilla1)^0.5)/A20stdlife))</f>
        <v>n/a</v>
      </c>
      <c r="M293" s="69" t="str">
        <f>IF(A20stdlife="n/a","n/a",IF(M$3&gt;(A20stdlife+$F293),(Input!$H$162*(1+vanilla1)^0.5)-SUM($H293:L293),(Input!$H$162*(1+vanilla1)^0.5)/A20stdlife))</f>
        <v>n/a</v>
      </c>
      <c r="N293" s="69" t="str">
        <f>IF(A20stdlife="n/a","n/a",IF(N$3&gt;(A20stdlife+$F293),(Input!$H$162*(1+vanilla1)^0.5)-SUM($H293:M293),(Input!$H$162*(1+vanilla1)^0.5)/A20stdlife))</f>
        <v>n/a</v>
      </c>
      <c r="O293" s="69" t="str">
        <f>IF(A20stdlife="n/a","n/a",IF(O$3&gt;(A20stdlife+$F293),(Input!$H$162*(1+vanilla1)^0.5)-SUM($H293:N293),(Input!$H$162*(1+vanilla1)^0.5)/A20stdlife))</f>
        <v>n/a</v>
      </c>
      <c r="P293" s="69" t="str">
        <f>IF(A20stdlife="n/a","n/a",IF(P$3&gt;(A20stdlife+$F293),(Input!$H$162*(1+vanilla1)^0.5)-SUM($H293:O293),(Input!$H$162*(1+vanilla1)^0.5)/A20stdlife))</f>
        <v>n/a</v>
      </c>
      <c r="Q293" s="69" t="str">
        <f>IF(A20stdlife="n/a","n/a",IF(Q$3&gt;(A20stdlife+$F293),(Input!$H$162*(1+vanilla1)^0.5)-SUM($H293:P293),(Input!$H$162*(1+vanilla1)^0.5)/A20stdlife))</f>
        <v>n/a</v>
      </c>
      <c r="R293" s="69"/>
      <c r="S293" s="104"/>
      <c r="T293" s="104"/>
      <c r="U293" s="104"/>
      <c r="V293" s="104"/>
      <c r="W293" s="104"/>
      <c r="X293" s="104"/>
      <c r="Y293" s="104"/>
      <c r="Z293" s="104"/>
      <c r="AA293" s="104"/>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37"/>
      <c r="F294" s="87">
        <v>2</v>
      </c>
      <c r="G294" s="124"/>
      <c r="H294" s="149"/>
      <c r="I294" s="150"/>
      <c r="J294" s="69" t="str">
        <f>IF(A20stdlife="n/a","n/a",IF(J$3&gt;(A20stdlife+$F294),(Input!$I$162*(1+vanilla2)^0.5)-SUM($I294:I294),(Input!$I$162*(1+vanilla2)^0.5)/A20stdlife))</f>
        <v>n/a</v>
      </c>
      <c r="K294" s="69" t="str">
        <f>IF(A20stdlife="n/a","n/a",IF(K$3&gt;(A20stdlife+$F294),(Input!$I$162*(1+vanilla2)^0.5)-SUM($I294:J294),(Input!$I$162*(1+vanilla2)^0.5)/A20stdlife))</f>
        <v>n/a</v>
      </c>
      <c r="L294" s="69" t="str">
        <f>IF(A20stdlife="n/a","n/a",IF(L$3&gt;(A20stdlife+$F294),(Input!$I$162*(1+vanilla2)^0.5)-SUM($I294:K294),(Input!$I$162*(1+vanilla2)^0.5)/A20stdlife))</f>
        <v>n/a</v>
      </c>
      <c r="M294" s="69" t="str">
        <f>IF(A20stdlife="n/a","n/a",IF(M$3&gt;(A20stdlife+$F294),(Input!$I$162*(1+vanilla2)^0.5)-SUM($I294:L294),(Input!$I$162*(1+vanilla2)^0.5)/A20stdlife))</f>
        <v>n/a</v>
      </c>
      <c r="N294" s="69" t="str">
        <f>IF(A20stdlife="n/a","n/a",IF(N$3&gt;(A20stdlife+$F294),(Input!$I$162*(1+vanilla2)^0.5)-SUM($I294:M294),(Input!$I$162*(1+vanilla2)^0.5)/A20stdlife))</f>
        <v>n/a</v>
      </c>
      <c r="O294" s="69" t="str">
        <f>IF(A20stdlife="n/a","n/a",IF(O$3&gt;(A20stdlife+$F294),(Input!$I$162*(1+vanilla2)^0.5)-SUM($I294:N294),(Input!$I$162*(1+vanilla2)^0.5)/A20stdlife))</f>
        <v>n/a</v>
      </c>
      <c r="P294" s="69" t="str">
        <f>IF(A20stdlife="n/a","n/a",IF(P$3&gt;(A20stdlife+$F294),(Input!$I$162*(1+vanilla2)^0.5)-SUM($I294:O294),(Input!$I$162*(1+vanilla2)^0.5)/A20stdlife))</f>
        <v>n/a</v>
      </c>
      <c r="Q294" s="69" t="str">
        <f>IF(A20stdlife="n/a","n/a",IF(Q$3&gt;(A20stdlife+$F294),(Input!$I$162*(1+vanilla2)^0.5)-SUM($I294:P294),(Input!$I$162*(1+vanilla2)^0.5)/A20stdlife))</f>
        <v>n/a</v>
      </c>
      <c r="R294" s="69"/>
      <c r="S294" s="104"/>
      <c r="T294" s="104"/>
      <c r="U294" s="104"/>
      <c r="V294" s="104"/>
      <c r="W294" s="104"/>
      <c r="X294" s="104"/>
      <c r="Y294" s="104"/>
      <c r="Z294" s="104"/>
      <c r="AA294" s="104"/>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37"/>
      <c r="F295" s="87">
        <v>3</v>
      </c>
      <c r="G295" s="124"/>
      <c r="H295" s="149"/>
      <c r="I295" s="151"/>
      <c r="J295" s="150"/>
      <c r="K295" s="69" t="str">
        <f>IF(A20stdlife="n/a","n/a",IF(K$3&gt;(A20stdlife+$F295),(Input!$J$162*(1+vanilla3)^0.5)-SUM($J295:J295),(Input!$J$162*(1+vanilla3)^0.5)/A20stdlife))</f>
        <v>n/a</v>
      </c>
      <c r="L295" s="69" t="str">
        <f>IF(A20stdlife="n/a","n/a",IF(L$3&gt;(A20stdlife+$F295),(Input!$J$162*(1+vanilla3)^0.5)-SUM($J295:K295),(Input!$J$162*(1+vanilla3)^0.5)/A20stdlife))</f>
        <v>n/a</v>
      </c>
      <c r="M295" s="69" t="str">
        <f>IF(A20stdlife="n/a","n/a",IF(M$3&gt;(A20stdlife+$F295),(Input!$J$162*(1+vanilla3)^0.5)-SUM($J295:L295),(Input!$J$162*(1+vanilla3)^0.5)/A20stdlife))</f>
        <v>n/a</v>
      </c>
      <c r="N295" s="69" t="str">
        <f>IF(A20stdlife="n/a","n/a",IF(N$3&gt;(A20stdlife+$F295),(Input!$J$162*(1+vanilla3)^0.5)-SUM($J295:M295),(Input!$J$162*(1+vanilla3)^0.5)/A20stdlife))</f>
        <v>n/a</v>
      </c>
      <c r="O295" s="69" t="str">
        <f>IF(A20stdlife="n/a","n/a",IF(O$3&gt;(A20stdlife+$F295),(Input!$J$162*(1+vanilla3)^0.5)-SUM($J295:N295),(Input!$J$162*(1+vanilla3)^0.5)/A20stdlife))</f>
        <v>n/a</v>
      </c>
      <c r="P295" s="69" t="str">
        <f>IF(A20stdlife="n/a","n/a",IF(P$3&gt;(A20stdlife+$F295),(Input!$J$162*(1+vanilla3)^0.5)-SUM($J295:O295),(Input!$J$162*(1+vanilla3)^0.5)/A20stdlife))</f>
        <v>n/a</v>
      </c>
      <c r="Q295" s="69" t="str">
        <f>IF(A20stdlife="n/a","n/a",IF(Q$3&gt;(A20stdlife+$F295),(Input!$J$162*(1+vanilla3)^0.5)-SUM($J295:P295),(Input!$J$162*(1+vanilla3)^0.5)/A20stdlife))</f>
        <v>n/a</v>
      </c>
      <c r="R295" s="69"/>
      <c r="S295" s="104"/>
      <c r="T295" s="104"/>
      <c r="U295" s="104"/>
      <c r="V295" s="104"/>
      <c r="W295" s="104"/>
      <c r="X295" s="104"/>
      <c r="Y295" s="104"/>
      <c r="Z295" s="104"/>
      <c r="AA295" s="104"/>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537"/>
      <c r="F296" s="87">
        <v>4</v>
      </c>
      <c r="G296" s="124"/>
      <c r="H296" s="149"/>
      <c r="I296" s="151"/>
      <c r="J296" s="151"/>
      <c r="K296" s="150"/>
      <c r="L296" s="69" t="str">
        <f>IF(A20stdlife="n/a","n/a",IF(L$3&gt;(A20stdlife+$F296),(Input!$K$162*(1+vanilla4)^0.5)-SUM($K296:K296),(Input!$K$162*(1+vanilla4)^0.5)/A20stdlife))</f>
        <v>n/a</v>
      </c>
      <c r="M296" s="69" t="str">
        <f>IF(A20stdlife="n/a","n/a",IF(M$3&gt;(A20stdlife+$F296),(Input!$K$162*(1+vanilla4)^0.5)-SUM($K296:L296),(Input!$K$162*(1+vanilla4)^0.5)/A20stdlife))</f>
        <v>n/a</v>
      </c>
      <c r="N296" s="69" t="str">
        <f>IF(A20stdlife="n/a","n/a",IF(N$3&gt;(A20stdlife+$F296),(Input!$K$162*(1+vanilla4)^0.5)-SUM($K296:M296),(Input!$K$162*(1+vanilla4)^0.5)/A20stdlife))</f>
        <v>n/a</v>
      </c>
      <c r="O296" s="69" t="str">
        <f>IF(A20stdlife="n/a","n/a",IF(O$3&gt;(A20stdlife+$F296),(Input!$K$162*(1+vanilla4)^0.5)-SUM($K296:N296),(Input!$K$162*(1+vanilla4)^0.5)/A20stdlife))</f>
        <v>n/a</v>
      </c>
      <c r="P296" s="69" t="str">
        <f>IF(A20stdlife="n/a","n/a",IF(P$3&gt;(A20stdlife+$F296),(Input!$K$162*(1+vanilla4)^0.5)-SUM($K296:O296),(Input!$K$162*(1+vanilla4)^0.5)/A20stdlife))</f>
        <v>n/a</v>
      </c>
      <c r="Q296" s="69" t="str">
        <f>IF(A20stdlife="n/a","n/a",IF(Q$3&gt;(A20stdlife+$F296),(Input!$K$162*(1+vanilla4)^0.5)-SUM($K296:P296),(Input!$K$162*(1+vanilla4)^0.5)/A20stdlife))</f>
        <v>n/a</v>
      </c>
      <c r="R296" s="69"/>
      <c r="S296" s="104"/>
      <c r="T296" s="104"/>
      <c r="U296" s="104"/>
      <c r="V296" s="104"/>
      <c r="W296" s="104"/>
      <c r="X296" s="104"/>
      <c r="Y296" s="104"/>
      <c r="Z296" s="104"/>
      <c r="AA296" s="104"/>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537"/>
      <c r="F297" s="87">
        <v>5</v>
      </c>
      <c r="G297" s="27"/>
      <c r="H297" s="149"/>
      <c r="I297" s="151"/>
      <c r="J297" s="151"/>
      <c r="K297" s="151"/>
      <c r="L297" s="150"/>
      <c r="M297" s="69" t="str">
        <f>IF(A20stdlife="n/a","n/a",IF(M$3&gt;(A20stdlife+$F297),(Input!$L$162*(1+vanilla5)^0.5)-SUM($L297:L297),(Input!$L$162*(1+vanilla5)^0.5)/A20stdlife))</f>
        <v>n/a</v>
      </c>
      <c r="N297" s="69" t="str">
        <f>IF(A20stdlife="n/a","n/a",IF(N$3&gt;(A20stdlife+$F297),(Input!$L$162*(1+vanilla5)^0.5)-SUM($L297:M297),(Input!$L$162*(1+vanilla5)^0.5)/A20stdlife))</f>
        <v>n/a</v>
      </c>
      <c r="O297" s="69" t="str">
        <f>IF(A20stdlife="n/a","n/a",IF(O$3&gt;(A20stdlife+$F297),(Input!$L$162*(1+vanilla5)^0.5)-SUM($L297:N297),(Input!$L$162*(1+vanilla5)^0.5)/A20stdlife))</f>
        <v>n/a</v>
      </c>
      <c r="P297" s="69" t="str">
        <f>IF(A20stdlife="n/a","n/a",IF(P$3&gt;(A20stdlife+$F297),(Input!$L$162*(1+vanilla5)^0.5)-SUM($L297:O297),(Input!$L$162*(1+vanilla5)^0.5)/A20stdlife))</f>
        <v>n/a</v>
      </c>
      <c r="Q297" s="69" t="str">
        <f>IF(A20stdlife="n/a","n/a",IF(Q$3&gt;(A20stdlife+$F297),(Input!$L$162*(1+vanilla5)^0.5)-SUM($L297:P297),(Input!$L$162*(1+vanilla5)^0.5)/A20stdlife))</f>
        <v>n/a</v>
      </c>
      <c r="R297" s="69"/>
      <c r="S297" s="104"/>
      <c r="T297" s="104"/>
      <c r="U297" s="104"/>
      <c r="V297" s="104"/>
      <c r="W297" s="104"/>
      <c r="X297" s="104"/>
      <c r="Y297" s="104"/>
      <c r="Z297" s="104"/>
      <c r="AA297" s="104"/>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537"/>
      <c r="F298" s="87">
        <v>6</v>
      </c>
      <c r="G298" s="27"/>
      <c r="H298" s="149"/>
      <c r="I298" s="151"/>
      <c r="J298" s="151"/>
      <c r="K298" s="151"/>
      <c r="L298" s="151"/>
      <c r="M298" s="150"/>
      <c r="N298" s="69" t="str">
        <f>IF(A20stdlife="n/a","n/a",IF(N$3&gt;(A20stdlife+$F298),(Input!$M$162*(1+vanilla6)^0.5)-SUM($M298:M298),(Input!$M$162*(1+vanilla6)^0.5)/A20stdlife))</f>
        <v>n/a</v>
      </c>
      <c r="O298" s="69" t="str">
        <f>IF(A20stdlife="n/a","n/a",IF(O$3&gt;(A20stdlife+$F298),(Input!$M$162*(1+vanilla6)^0.5)-SUM($M298:N298),(Input!$M$162*(1+vanilla6)^0.5)/A20stdlife))</f>
        <v>n/a</v>
      </c>
      <c r="P298" s="69" t="str">
        <f>IF(A20stdlife="n/a","n/a",IF(P$3&gt;(A20stdlife+$F298),(Input!$M$162*(1+vanilla6)^0.5)-SUM($M298:O298),(Input!$M$162*(1+vanilla6)^0.5)/A20stdlife))</f>
        <v>n/a</v>
      </c>
      <c r="Q298" s="69" t="str">
        <f>IF(A20stdlife="n/a","n/a",IF(Q$3&gt;(A20stdlife+$F298),(Input!$M$162*(1+vanilla6)^0.5)-SUM($M298:P298),(Input!$M$162*(1+vanilla6)^0.5)/A20stdlife))</f>
        <v>n/a</v>
      </c>
      <c r="R298" s="69"/>
      <c r="S298" s="104"/>
      <c r="T298" s="104"/>
      <c r="U298" s="104"/>
      <c r="V298" s="104"/>
      <c r="W298" s="104"/>
      <c r="X298" s="104"/>
      <c r="Y298" s="104"/>
      <c r="Z298" s="104"/>
      <c r="AA298" s="104"/>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37"/>
      <c r="F299" s="87">
        <v>7</v>
      </c>
      <c r="G299" s="27"/>
      <c r="H299" s="149"/>
      <c r="I299" s="151"/>
      <c r="J299" s="151"/>
      <c r="K299" s="151"/>
      <c r="L299" s="151"/>
      <c r="M299" s="151"/>
      <c r="N299" s="150"/>
      <c r="O299" s="69" t="str">
        <f>IF(A20stdlife="n/a","n/a",IF(O$3&gt;(A20stdlife+$F299),(Input!N$162*(1+vanilla7)^0.5)-SUM($N299:N299),(Input!$N$162*(1+vanilla7)^0.5)/A20stdlife))</f>
        <v>n/a</v>
      </c>
      <c r="P299" s="69" t="str">
        <f>IF(A20stdlife="n/a","n/a",IF(P$3&gt;(A20stdlife+$F299),(Input!O$162*(1+vanilla7)^0.5)-SUM($N299:O299),(Input!$N$162*(1+vanilla7)^0.5)/A20stdlife))</f>
        <v>n/a</v>
      </c>
      <c r="Q299" s="69" t="str">
        <f>IF(A20stdlife="n/a","n/a",IF(Q$3&gt;(A20stdlife+$F299),(Input!P$162*(1+vanilla7)^0.5)-SUM($N299:P299),(Input!$N$162*(1+vanilla7)^0.5)/A20stdlife))</f>
        <v>n/a</v>
      </c>
      <c r="R299" s="69"/>
      <c r="S299" s="104"/>
      <c r="T299" s="104"/>
      <c r="U299" s="104"/>
      <c r="V299" s="104"/>
      <c r="W299" s="104"/>
      <c r="X299" s="104"/>
      <c r="Y299" s="104"/>
      <c r="Z299" s="104"/>
      <c r="AA299" s="104"/>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37"/>
      <c r="F300" s="87">
        <v>8</v>
      </c>
      <c r="G300" s="27"/>
      <c r="H300" s="149"/>
      <c r="I300" s="151"/>
      <c r="J300" s="151"/>
      <c r="K300" s="151"/>
      <c r="L300" s="151"/>
      <c r="M300" s="151"/>
      <c r="N300" s="151"/>
      <c r="O300" s="150"/>
      <c r="P300" s="69" t="str">
        <f>IF(A20stdlife="n/a","n/a",IF(P$3&gt;(A20stdlife+$F300),(Input!$O$162*(1+vanilla8)^0.5)-SUM($O300:O300),(Input!$O$162*(1+vanilla8)^0.5)/A20stdlife))</f>
        <v>n/a</v>
      </c>
      <c r="Q300" s="69" t="str">
        <f>IF(A20stdlife="n/a","n/a",IF(Q$3&gt;(A20stdlife+$F300),(Input!$O$162*(1+vanilla8)^0.5)-SUM($O300:P300),(Input!$O$162*(1+vanilla8)^0.5)/A20stdlife))</f>
        <v>n/a</v>
      </c>
      <c r="R300" s="69"/>
      <c r="S300" s="104"/>
      <c r="T300" s="104"/>
      <c r="U300" s="104"/>
      <c r="V300" s="104"/>
      <c r="W300" s="104"/>
      <c r="X300" s="104"/>
      <c r="Y300" s="104"/>
      <c r="Z300" s="104"/>
      <c r="AA300" s="104"/>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37"/>
      <c r="F301" s="87">
        <v>9</v>
      </c>
      <c r="G301" s="27"/>
      <c r="H301" s="149"/>
      <c r="I301" s="151"/>
      <c r="J301" s="151"/>
      <c r="K301" s="151"/>
      <c r="L301" s="151"/>
      <c r="M301" s="151"/>
      <c r="N301" s="151"/>
      <c r="O301" s="151"/>
      <c r="P301" s="150"/>
      <c r="Q301" s="69" t="str">
        <f>IF(A20stdlife="n/a","n/a",IF(Q$3&gt;(A20stdlife+$F301),(Input!$P$162*(1+vanilla9)^0.5)-SUM($P301:P301),(Input!$P$162*(1+vanilla9)^0.5)/A20stdlife))</f>
        <v>n/a</v>
      </c>
      <c r="R301" s="69"/>
      <c r="S301" s="104"/>
      <c r="T301" s="104"/>
      <c r="U301" s="104"/>
      <c r="V301" s="104"/>
      <c r="W301" s="104"/>
      <c r="X301" s="104"/>
      <c r="Y301" s="104"/>
      <c r="Z301" s="104"/>
      <c r="AA301" s="104"/>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37"/>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8"/>
      <c r="H304" s="68" t="str">
        <f>IF(H$3&gt;A21remlife,A21value-SUM($G304:G304),IF(A21remlife="N/A","n/a",A21value/A21remlife))</f>
        <v>n/a</v>
      </c>
      <c r="I304" s="68" t="str">
        <f>IF(I$3&gt;A21remlife,A21value-SUM($G304:H304),IF(A21remlife="N/A","n/a",A21value/A21remlife))</f>
        <v>n/a</v>
      </c>
      <c r="J304" s="68" t="str">
        <f>IF(J$3&gt;A21remlife,A21value-SUM($G304:I304),IF(A21remlife="N/A","n/a",A21value/A21remlife))</f>
        <v>n/a</v>
      </c>
      <c r="K304" s="68" t="str">
        <f>IF(K$3&gt;A21remlife,A21value-SUM($G304:J304),IF(A21remlife="N/A","n/a",A21value/A21remlife))</f>
        <v>n/a</v>
      </c>
      <c r="L304" s="68" t="str">
        <f>IF(L$3&gt;A21remlife,A21value-SUM($G304:K304),IF(A21remlife="N/A","n/a",A21value/A21remlife))</f>
        <v>n/a</v>
      </c>
      <c r="M304" s="68" t="str">
        <f>IF(M$3&gt;A21remlife,A21value-SUM($G304:L304),IF(A21remlife="N/A","n/a",A21value/A21remlife))</f>
        <v>n/a</v>
      </c>
      <c r="N304" s="68" t="str">
        <f>IF(N$3&gt;A21remlife,A21value-SUM($G304:M304),IF(A21remlife="N/A","n/a",A21value/A21remlife))</f>
        <v>n/a</v>
      </c>
      <c r="O304" s="68" t="str">
        <f>IF(O$3&gt;A21remlife,A21value-SUM($G304:N304),IF(A21remlife="N/A","n/a",A21value/A21remlife))</f>
        <v>n/a</v>
      </c>
      <c r="P304" s="68" t="str">
        <f>IF(P$3&gt;A21remlife,A21value-SUM($G304:O304),IF(A21remlife="N/A","n/a",A21value/A21remlife))</f>
        <v>n/a</v>
      </c>
      <c r="Q304" s="68" t="str">
        <f>IF(Q$3&gt;A21remlife,A21value-SUM($G304:P304),IF(A21remlife="N/A","n/a",A21value/A21remlife))</f>
        <v>n/a</v>
      </c>
      <c r="R304" s="68"/>
      <c r="S304" s="104"/>
      <c r="T304" s="104"/>
      <c r="U304" s="104"/>
      <c r="V304" s="104"/>
      <c r="W304" s="104"/>
      <c r="X304" s="104"/>
      <c r="Y304" s="104"/>
      <c r="Z304" s="104"/>
      <c r="AA304" s="104"/>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536" t="s">
        <v>86</v>
      </c>
      <c r="F305" s="87">
        <v>0</v>
      </c>
      <c r="G305" s="124"/>
      <c r="H305" s="69"/>
      <c r="I305" s="69"/>
      <c r="J305" s="69"/>
      <c r="K305" s="69"/>
      <c r="L305" s="69"/>
      <c r="M305" s="166"/>
      <c r="N305" s="113"/>
      <c r="O305" s="69"/>
      <c r="P305" s="69"/>
      <c r="Q305" s="69"/>
      <c r="R305" s="69"/>
      <c r="S305" s="104"/>
      <c r="T305" s="104"/>
      <c r="U305" s="104"/>
      <c r="V305" s="104"/>
      <c r="W305" s="104"/>
      <c r="X305" s="104"/>
      <c r="Y305" s="104"/>
      <c r="Z305" s="104"/>
      <c r="AA305" s="104"/>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37"/>
      <c r="F306" s="87">
        <v>1</v>
      </c>
      <c r="G306" s="124"/>
      <c r="H306" s="148"/>
      <c r="I306" s="69" t="str">
        <f>IF(A21stdlife="n/a","n/a",IF(I$3&gt;(A21stdlife+$F306),(Input!$H$163*(1+vanilla1)^0.5)-SUM($H306:H306),(Input!$H$163*(1+vanilla1)^0.5)/A21stdlife))</f>
        <v>n/a</v>
      </c>
      <c r="J306" s="69" t="str">
        <f>IF(A21stdlife="n/a","n/a",IF(J$3&gt;(A21stdlife+$F306),(Input!$H$163*(1+vanilla1)^0.5)-SUM($H306:I306),(Input!$H$163*(1+vanilla1)^0.5)/A21stdlife))</f>
        <v>n/a</v>
      </c>
      <c r="K306" s="69" t="str">
        <f>IF(A21stdlife="n/a","n/a",IF(K$3&gt;(A21stdlife+$F306),(Input!$H$163*(1+vanilla1)^0.5)-SUM($H306:J306),(Input!$H$163*(1+vanilla1)^0.5)/A21stdlife))</f>
        <v>n/a</v>
      </c>
      <c r="L306" s="69" t="str">
        <f>IF(A21stdlife="n/a","n/a",IF(L$3&gt;(A21stdlife+$F306),(Input!$H$163*(1+vanilla1)^0.5)-SUM($H306:K306),(Input!$H$163*(1+vanilla1)^0.5)/A21stdlife))</f>
        <v>n/a</v>
      </c>
      <c r="M306" s="69" t="str">
        <f>IF(A21stdlife="n/a","n/a",IF(M$3&gt;(A21stdlife+$F306),(Input!$H$163*(1+vanilla1)^0.5)-SUM($H306:L306),(Input!$H$163*(1+vanilla1)^0.5)/A21stdlife))</f>
        <v>n/a</v>
      </c>
      <c r="N306" s="69" t="str">
        <f>IF(A21stdlife="n/a","n/a",IF(N$3&gt;(A21stdlife+$F306),(Input!$H$163*(1+vanilla1)^0.5)-SUM($H306:M306),(Input!$H$163*(1+vanilla1)^0.5)/A21stdlife))</f>
        <v>n/a</v>
      </c>
      <c r="O306" s="69" t="str">
        <f>IF(A21stdlife="n/a","n/a",IF(O$3&gt;(A21stdlife+$F306),(Input!$H$163*(1+vanilla1)^0.5)-SUM($H306:N306),(Input!$H$163*(1+vanilla1)^0.5)/A21stdlife))</f>
        <v>n/a</v>
      </c>
      <c r="P306" s="69" t="str">
        <f>IF(A21stdlife="n/a","n/a",IF(P$3&gt;(A21stdlife+$F306),(Input!$H$163*(1+vanilla1)^0.5)-SUM($H306:O306),(Input!$H$163*(1+vanilla1)^0.5)/A21stdlife))</f>
        <v>n/a</v>
      </c>
      <c r="Q306" s="69" t="str">
        <f>IF(A21stdlife="n/a","n/a",IF(Q$3&gt;(A21stdlife+$F306),(Input!$H$163*(1+vanilla1)^0.5)-SUM($H306:P306),(Input!$H$163*(1+vanilla1)^0.5)/A21stdlife))</f>
        <v>n/a</v>
      </c>
      <c r="R306" s="69"/>
      <c r="S306" s="104"/>
      <c r="T306" s="104"/>
      <c r="U306" s="104"/>
      <c r="V306" s="104"/>
      <c r="W306" s="104"/>
      <c r="X306" s="104"/>
      <c r="Y306" s="104"/>
      <c r="Z306" s="104"/>
      <c r="AA306" s="104"/>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37"/>
      <c r="F307" s="87">
        <v>2</v>
      </c>
      <c r="G307" s="124"/>
      <c r="H307" s="149"/>
      <c r="I307" s="150"/>
      <c r="J307" s="69" t="str">
        <f>IF(A21stdlife="n/a","n/a",IF(J$3&gt;(A21stdlife+$F307),(Input!$I$163*(1+vanilla2)^0.5)-SUM($I307:I307),(Input!$I$163*(1+vanilla2)^0.5)/A21stdlife))</f>
        <v>n/a</v>
      </c>
      <c r="K307" s="69" t="str">
        <f>IF(A21stdlife="n/a","n/a",IF(K$3&gt;(A21stdlife+$F307),(Input!$I$163*(1+vanilla2)^0.5)-SUM($I307:J307),(Input!$I$163*(1+vanilla2)^0.5)/A21stdlife))</f>
        <v>n/a</v>
      </c>
      <c r="L307" s="69" t="str">
        <f>IF(A21stdlife="n/a","n/a",IF(L$3&gt;(A21stdlife+$F307),(Input!$I$163*(1+vanilla2)^0.5)-SUM($I307:K307),(Input!$I$163*(1+vanilla2)^0.5)/A21stdlife))</f>
        <v>n/a</v>
      </c>
      <c r="M307" s="69" t="str">
        <f>IF(A21stdlife="n/a","n/a",IF(M$3&gt;(A21stdlife+$F307),(Input!$I$163*(1+vanilla2)^0.5)-SUM($I307:L307),(Input!$I$163*(1+vanilla2)^0.5)/A21stdlife))</f>
        <v>n/a</v>
      </c>
      <c r="N307" s="69" t="str">
        <f>IF(A21stdlife="n/a","n/a",IF(N$3&gt;(A21stdlife+$F307),(Input!$I$163*(1+vanilla2)^0.5)-SUM($I307:M307),(Input!$I$163*(1+vanilla2)^0.5)/A21stdlife))</f>
        <v>n/a</v>
      </c>
      <c r="O307" s="69" t="str">
        <f>IF(A21stdlife="n/a","n/a",IF(O$3&gt;(A21stdlife+$F307),(Input!$I$163*(1+vanilla2)^0.5)-SUM($I307:N307),(Input!$I$163*(1+vanilla2)^0.5)/A21stdlife))</f>
        <v>n/a</v>
      </c>
      <c r="P307" s="69" t="str">
        <f>IF(A21stdlife="n/a","n/a",IF(P$3&gt;(A21stdlife+$F307),(Input!$I$163*(1+vanilla2)^0.5)-SUM($I307:O307),(Input!$I$163*(1+vanilla2)^0.5)/A21stdlife))</f>
        <v>n/a</v>
      </c>
      <c r="Q307" s="69" t="str">
        <f>IF(A21stdlife="n/a","n/a",IF(Q$3&gt;(A21stdlife+$F307),(Input!$I$163*(1+vanilla2)^0.5)-SUM($I307:P307),(Input!$I$163*(1+vanilla2)^0.5)/A21stdlife))</f>
        <v>n/a</v>
      </c>
      <c r="R307" s="69"/>
      <c r="S307" s="104"/>
      <c r="T307" s="104"/>
      <c r="U307" s="104"/>
      <c r="V307" s="104"/>
      <c r="W307" s="104"/>
      <c r="X307" s="104"/>
      <c r="Y307" s="104"/>
      <c r="Z307" s="104"/>
      <c r="AA307" s="104"/>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37"/>
      <c r="F308" s="87">
        <v>3</v>
      </c>
      <c r="G308" s="124"/>
      <c r="H308" s="149"/>
      <c r="I308" s="151"/>
      <c r="J308" s="150"/>
      <c r="K308" s="69" t="str">
        <f>IF(A21stdlife="n/a","n/a",IF(K$3&gt;(A21stdlife+$F308),(Input!$J$163*(1+vanilla3)^0.5)-SUM($J308:J308),(Input!$J$163*(1+vanilla3)^0.5)/A21stdlife))</f>
        <v>n/a</v>
      </c>
      <c r="L308" s="69" t="str">
        <f>IF(A21stdlife="n/a","n/a",IF(L$3&gt;(A21stdlife+$F308),(Input!$J$163*(1+vanilla3)^0.5)-SUM($J308:K308),(Input!$J$163*(1+vanilla3)^0.5)/A21stdlife))</f>
        <v>n/a</v>
      </c>
      <c r="M308" s="69" t="str">
        <f>IF(A21stdlife="n/a","n/a",IF(M$3&gt;(A21stdlife+$F308),(Input!$J$163*(1+vanilla3)^0.5)-SUM($J308:L308),(Input!$J$163*(1+vanilla3)^0.5)/A21stdlife))</f>
        <v>n/a</v>
      </c>
      <c r="N308" s="69" t="str">
        <f>IF(A21stdlife="n/a","n/a",IF(N$3&gt;(A21stdlife+$F308),(Input!$J$163*(1+vanilla3)^0.5)-SUM($J308:M308),(Input!$J$163*(1+vanilla3)^0.5)/A21stdlife))</f>
        <v>n/a</v>
      </c>
      <c r="O308" s="69" t="str">
        <f>IF(A21stdlife="n/a","n/a",IF(O$3&gt;(A21stdlife+$F308),(Input!$J$163*(1+vanilla3)^0.5)-SUM($J308:N308),(Input!$J$163*(1+vanilla3)^0.5)/A21stdlife))</f>
        <v>n/a</v>
      </c>
      <c r="P308" s="69" t="str">
        <f>IF(A21stdlife="n/a","n/a",IF(P$3&gt;(A21stdlife+$F308),(Input!$J$163*(1+vanilla3)^0.5)-SUM($J308:O308),(Input!$J$163*(1+vanilla3)^0.5)/A21stdlife))</f>
        <v>n/a</v>
      </c>
      <c r="Q308" s="69" t="str">
        <f>IF(A21stdlife="n/a","n/a",IF(Q$3&gt;(A21stdlife+$F308),(Input!$J$163*(1+vanilla3)^0.5)-SUM($J308:P308),(Input!$J$163*(1+vanilla3)^0.5)/A21stdlife))</f>
        <v>n/a</v>
      </c>
      <c r="R308" s="69"/>
      <c r="S308" s="104"/>
      <c r="T308" s="104"/>
      <c r="U308" s="104"/>
      <c r="V308" s="104"/>
      <c r="W308" s="104"/>
      <c r="X308" s="104"/>
      <c r="Y308" s="104"/>
      <c r="Z308" s="104"/>
      <c r="AA308" s="104"/>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537"/>
      <c r="F309" s="87">
        <v>4</v>
      </c>
      <c r="G309" s="124"/>
      <c r="H309" s="149"/>
      <c r="I309" s="151"/>
      <c r="J309" s="151"/>
      <c r="K309" s="150"/>
      <c r="L309" s="69" t="str">
        <f>IF(A21stdlife="n/a","n/a",IF(L$3&gt;(A21stdlife+$F309),(Input!$K$163*(1+vanilla4)^0.5)-SUM($K309:K309),(Input!$K$163*(1+vanilla4)^0.5)/A21stdlife))</f>
        <v>n/a</v>
      </c>
      <c r="M309" s="69" t="str">
        <f>IF(A21stdlife="n/a","n/a",IF(M$3&gt;(A21stdlife+$F309),(Input!$K$163*(1+vanilla4)^0.5)-SUM($K309:L309),(Input!$K$163*(1+vanilla4)^0.5)/A21stdlife))</f>
        <v>n/a</v>
      </c>
      <c r="N309" s="69" t="str">
        <f>IF(A21stdlife="n/a","n/a",IF(N$3&gt;(A21stdlife+$F309),(Input!$K$163*(1+vanilla4)^0.5)-SUM($K309:M309),(Input!$K$163*(1+vanilla4)^0.5)/A21stdlife))</f>
        <v>n/a</v>
      </c>
      <c r="O309" s="69" t="str">
        <f>IF(A21stdlife="n/a","n/a",IF(O$3&gt;(A21stdlife+$F309),(Input!$K$163*(1+vanilla4)^0.5)-SUM($K309:N309),(Input!$K$163*(1+vanilla4)^0.5)/A21stdlife))</f>
        <v>n/a</v>
      </c>
      <c r="P309" s="69" t="str">
        <f>IF(A21stdlife="n/a","n/a",IF(P$3&gt;(A21stdlife+$F309),(Input!$K$163*(1+vanilla4)^0.5)-SUM($K309:O309),(Input!$K$163*(1+vanilla4)^0.5)/A21stdlife))</f>
        <v>n/a</v>
      </c>
      <c r="Q309" s="69" t="str">
        <f>IF(A21stdlife="n/a","n/a",IF(Q$3&gt;(A21stdlife+$F309),(Input!$K$163*(1+vanilla4)^0.5)-SUM($K309:P309),(Input!$K$163*(1+vanilla4)^0.5)/A21stdlife))</f>
        <v>n/a</v>
      </c>
      <c r="R309" s="69"/>
      <c r="S309" s="104"/>
      <c r="T309" s="104"/>
      <c r="U309" s="104"/>
      <c r="V309" s="104"/>
      <c r="W309" s="104"/>
      <c r="X309" s="104"/>
      <c r="Y309" s="104"/>
      <c r="Z309" s="104"/>
      <c r="AA309" s="104"/>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537"/>
      <c r="F310" s="87">
        <v>5</v>
      </c>
      <c r="G310" s="27"/>
      <c r="H310" s="149"/>
      <c r="I310" s="151"/>
      <c r="J310" s="151"/>
      <c r="K310" s="151"/>
      <c r="L310" s="150"/>
      <c r="M310" s="69" t="str">
        <f>IF(A21stdlife="n/a","n/a",IF(M$3&gt;(A21stdlife+$F310),(Input!$L$163*(1+vanilla5)^0.5)-SUM($L310:L310),(Input!$L$163*(1+vanilla5)^0.5)/A21stdlife))</f>
        <v>n/a</v>
      </c>
      <c r="N310" s="69" t="str">
        <f>IF(A21stdlife="n/a","n/a",IF(N$3&gt;(A21stdlife+$F310),(Input!$L$163*(1+vanilla5)^0.5)-SUM($L310:M310),(Input!$L$163*(1+vanilla5)^0.5)/A21stdlife))</f>
        <v>n/a</v>
      </c>
      <c r="O310" s="69" t="str">
        <f>IF(A21stdlife="n/a","n/a",IF(O$3&gt;(A21stdlife+$F310),(Input!$L$163*(1+vanilla5)^0.5)-SUM($L310:N310),(Input!$L$163*(1+vanilla5)^0.5)/A21stdlife))</f>
        <v>n/a</v>
      </c>
      <c r="P310" s="69" t="str">
        <f>IF(A21stdlife="n/a","n/a",IF(P$3&gt;(A21stdlife+$F310),(Input!$L$163*(1+vanilla5)^0.5)-SUM($L310:O310),(Input!$L$163*(1+vanilla5)^0.5)/A21stdlife))</f>
        <v>n/a</v>
      </c>
      <c r="Q310" s="69" t="str">
        <f>IF(A21stdlife="n/a","n/a",IF(Q$3&gt;(A21stdlife+$F310),(Input!$L$163*(1+vanilla5)^0.5)-SUM($L310:P310),(Input!$L$163*(1+vanilla5)^0.5)/A21stdlife))</f>
        <v>n/a</v>
      </c>
      <c r="R310" s="69"/>
      <c r="S310" s="104"/>
      <c r="T310" s="104"/>
      <c r="U310" s="104"/>
      <c r="V310" s="104"/>
      <c r="W310" s="104"/>
      <c r="X310" s="104"/>
      <c r="Y310" s="104"/>
      <c r="Z310" s="104"/>
      <c r="AA310" s="104"/>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537"/>
      <c r="F311" s="87">
        <v>6</v>
      </c>
      <c r="G311" s="27"/>
      <c r="H311" s="149"/>
      <c r="I311" s="151"/>
      <c r="J311" s="151"/>
      <c r="K311" s="151"/>
      <c r="L311" s="151"/>
      <c r="M311" s="150"/>
      <c r="N311" s="69" t="str">
        <f>IF(A21stdlife="n/a","n/a",IF(N$3&gt;(A21stdlife+$F311),(Input!$M$163*(1+vanilla6)^0.5)-SUM($M311:M311),(Input!$M$163*(1+vanilla6)^0.5)/A21stdlife))</f>
        <v>n/a</v>
      </c>
      <c r="O311" s="69" t="str">
        <f>IF(A21stdlife="n/a","n/a",IF(O$3&gt;(A21stdlife+$F311),(Input!$M$163*(1+vanilla6)^0.5)-SUM($M311:N311),(Input!$M$163*(1+vanilla6)^0.5)/A21stdlife))</f>
        <v>n/a</v>
      </c>
      <c r="P311" s="69" t="str">
        <f>IF(A21stdlife="n/a","n/a",IF(P$3&gt;(A21stdlife+$F311),(Input!$M$163*(1+vanilla6)^0.5)-SUM($M311:O311),(Input!$M$163*(1+vanilla6)^0.5)/A21stdlife))</f>
        <v>n/a</v>
      </c>
      <c r="Q311" s="69" t="str">
        <f>IF(A21stdlife="n/a","n/a",IF(Q$3&gt;(A21stdlife+$F311),(Input!$M$163*(1+vanilla6)^0.5)-SUM($M311:P311),(Input!$M$163*(1+vanilla6)^0.5)/A21stdlife))</f>
        <v>n/a</v>
      </c>
      <c r="R311" s="69"/>
      <c r="S311" s="104"/>
      <c r="T311" s="104"/>
      <c r="U311" s="104"/>
      <c r="V311" s="104"/>
      <c r="W311" s="104"/>
      <c r="X311" s="104"/>
      <c r="Y311" s="104"/>
      <c r="Z311" s="104"/>
      <c r="AA311" s="104"/>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37"/>
      <c r="F312" s="87">
        <v>7</v>
      </c>
      <c r="G312" s="27"/>
      <c r="H312" s="149"/>
      <c r="I312" s="151"/>
      <c r="J312" s="151"/>
      <c r="K312" s="151"/>
      <c r="L312" s="151"/>
      <c r="M312" s="151"/>
      <c r="N312" s="150"/>
      <c r="O312" s="69" t="str">
        <f>IF(A21stdlife="n/a","n/a",IF(O$3&gt;(A21stdlife+$F312),(Input!N$163*(1+vanilla7)^0.5)-SUM($N312:N312),(Input!$N$163*(1+vanilla7)^0.5)/A21stdlife))</f>
        <v>n/a</v>
      </c>
      <c r="P312" s="69" t="str">
        <f>IF(A21stdlife="n/a","n/a",IF(P$3&gt;(A21stdlife+$F312),(Input!O$163*(1+vanilla7)^0.5)-SUM($N312:O312),(Input!$N$163*(1+vanilla7)^0.5)/A21stdlife))</f>
        <v>n/a</v>
      </c>
      <c r="Q312" s="69" t="str">
        <f>IF(A21stdlife="n/a","n/a",IF(Q$3&gt;(A21stdlife+$F312),(Input!P$163*(1+vanilla7)^0.5)-SUM($N312:P312),(Input!$N$163*(1+vanilla7)^0.5)/A21stdlife))</f>
        <v>n/a</v>
      </c>
      <c r="R312" s="69"/>
      <c r="S312" s="104"/>
      <c r="T312" s="104"/>
      <c r="U312" s="104"/>
      <c r="V312" s="104"/>
      <c r="W312" s="104"/>
      <c r="X312" s="104"/>
      <c r="Y312" s="104"/>
      <c r="Z312" s="104"/>
      <c r="AA312" s="104"/>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37"/>
      <c r="F313" s="87">
        <v>8</v>
      </c>
      <c r="G313" s="27"/>
      <c r="H313" s="149"/>
      <c r="I313" s="151"/>
      <c r="J313" s="151"/>
      <c r="K313" s="151"/>
      <c r="L313" s="151"/>
      <c r="M313" s="151"/>
      <c r="N313" s="151"/>
      <c r="O313" s="150"/>
      <c r="P313" s="69" t="str">
        <f>IF(A21stdlife="n/a","n/a",IF(P$3&gt;(A21stdlife+$F313),(Input!$O$163*(1+vanilla8)^0.5)-SUM($O313:O313),(Input!$O$163*(1+vanilla8)^0.5)/A21stdlife))</f>
        <v>n/a</v>
      </c>
      <c r="Q313" s="69" t="str">
        <f>IF(A21stdlife="n/a","n/a",IF(Q$3&gt;(A21stdlife+$F313),(Input!$O$163*(1+vanilla8)^0.5)-SUM($O313:P313),(Input!$O$163*(1+vanilla8)^0.5)/A21stdlife))</f>
        <v>n/a</v>
      </c>
      <c r="R313" s="69"/>
      <c r="S313" s="104"/>
      <c r="T313" s="104"/>
      <c r="U313" s="104"/>
      <c r="V313" s="104"/>
      <c r="W313" s="104"/>
      <c r="X313" s="104"/>
      <c r="Y313" s="104"/>
      <c r="Z313" s="104"/>
      <c r="AA313" s="104"/>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37"/>
      <c r="F314" s="87">
        <v>9</v>
      </c>
      <c r="G314" s="27"/>
      <c r="H314" s="149"/>
      <c r="I314" s="151"/>
      <c r="J314" s="151"/>
      <c r="K314" s="151"/>
      <c r="L314" s="151"/>
      <c r="M314" s="151"/>
      <c r="N314" s="151"/>
      <c r="O314" s="151"/>
      <c r="P314" s="150"/>
      <c r="Q314" s="69" t="str">
        <f>IF(A21stdlife="n/a","n/a",IF(Q$3&gt;(A21stdlife+$F314),(Input!$P$163*(1+vanilla9)^0.5)-SUM($P314:P314),(Input!$P$163*(1+vanilla9)^0.5)/A21stdlife))</f>
        <v>n/a</v>
      </c>
      <c r="R314" s="69"/>
      <c r="S314" s="104"/>
      <c r="T314" s="104"/>
      <c r="U314" s="104"/>
      <c r="V314" s="104"/>
      <c r="W314" s="104"/>
      <c r="X314" s="104"/>
      <c r="Y314" s="104"/>
      <c r="Z314" s="104"/>
      <c r="AA314" s="104"/>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37"/>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8"/>
      <c r="H317" s="68" t="str">
        <f>IF(H$3&gt;A22remlife,A22value-SUM($G317:G317),IF(A22remlife="N/A","n/a",A22value/A22remlife))</f>
        <v>n/a</v>
      </c>
      <c r="I317" s="68" t="str">
        <f>IF(I$3&gt;A22remlife,A22value-SUM($G317:H317),IF(A22remlife="N/A","n/a",A22value/A22remlife))</f>
        <v>n/a</v>
      </c>
      <c r="J317" s="68" t="str">
        <f>IF(J$3&gt;A22remlife,A22value-SUM($G317:I317),IF(A22remlife="N/A","n/a",A22value/A22remlife))</f>
        <v>n/a</v>
      </c>
      <c r="K317" s="68" t="str">
        <f>IF(K$3&gt;A22remlife,A22value-SUM($G317:J317),IF(A22remlife="N/A","n/a",A22value/A22remlife))</f>
        <v>n/a</v>
      </c>
      <c r="L317" s="68" t="str">
        <f>IF(L$3&gt;A22remlife,A22value-SUM($G317:K317),IF(A22remlife="N/A","n/a",A22value/A22remlife))</f>
        <v>n/a</v>
      </c>
      <c r="M317" s="68" t="str">
        <f>IF(M$3&gt;A22remlife,A22value-SUM($G317:L317),IF(A22remlife="N/A","n/a",A22value/A22remlife))</f>
        <v>n/a</v>
      </c>
      <c r="N317" s="68" t="str">
        <f>IF(N$3&gt;A22remlife,A22value-SUM($G317:M317),IF(A22remlife="N/A","n/a",A22value/A22remlife))</f>
        <v>n/a</v>
      </c>
      <c r="O317" s="68" t="str">
        <f>IF(O$3&gt;A22remlife,A22value-SUM($G317:N317),IF(A22remlife="N/A","n/a",A22value/A22remlife))</f>
        <v>n/a</v>
      </c>
      <c r="P317" s="68" t="str">
        <f>IF(P$3&gt;A22remlife,A22value-SUM($G317:O317),IF(A22remlife="N/A","n/a",A22value/A22remlife))</f>
        <v>n/a</v>
      </c>
      <c r="Q317" s="68" t="str">
        <f>IF(Q$3&gt;A22remlife,A22value-SUM($G317:P317),IF(A22remlife="N/A","n/a",A22value/A22remlife))</f>
        <v>n/a</v>
      </c>
      <c r="R317" s="68"/>
      <c r="S317" s="104"/>
      <c r="T317" s="104"/>
      <c r="U317" s="104"/>
      <c r="V317" s="104"/>
      <c r="W317" s="104"/>
      <c r="X317" s="104"/>
      <c r="Y317" s="104"/>
      <c r="Z317" s="104"/>
      <c r="AA317" s="104"/>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536" t="s">
        <v>86</v>
      </c>
      <c r="F318" s="87">
        <v>0</v>
      </c>
      <c r="G318" s="124"/>
      <c r="H318" s="69"/>
      <c r="I318" s="69"/>
      <c r="J318" s="69"/>
      <c r="K318" s="69"/>
      <c r="L318" s="69"/>
      <c r="M318" s="166"/>
      <c r="N318" s="113"/>
      <c r="O318" s="69"/>
      <c r="P318" s="69"/>
      <c r="Q318" s="69"/>
      <c r="R318" s="69"/>
      <c r="S318" s="104"/>
      <c r="T318" s="104"/>
      <c r="U318" s="104"/>
      <c r="V318" s="104"/>
      <c r="W318" s="104"/>
      <c r="X318" s="104"/>
      <c r="Y318" s="104"/>
      <c r="Z318" s="104"/>
      <c r="AA318" s="104"/>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37"/>
      <c r="F319" s="87">
        <v>1</v>
      </c>
      <c r="G319" s="124"/>
      <c r="H319" s="148"/>
      <c r="I319" s="69" t="str">
        <f>IF(A22stdlife="n/a","n/a",IF(I$3&gt;(A22stdlife+$F319),(Input!$H$164*(1+vanilla1)^0.5)-SUM($H319:H319),(Input!$H$164*(1+vanilla1)^0.5)/A22stdlife))</f>
        <v>n/a</v>
      </c>
      <c r="J319" s="69" t="str">
        <f>IF(A22stdlife="n/a","n/a",IF(J$3&gt;(A22stdlife+$F319),(Input!$H$164*(1+vanilla1)^0.5)-SUM($H319:I319),(Input!$H$164*(1+vanilla1)^0.5)/A22stdlife))</f>
        <v>n/a</v>
      </c>
      <c r="K319" s="69" t="str">
        <f>IF(A22stdlife="n/a","n/a",IF(K$3&gt;(A22stdlife+$F319),(Input!$H$164*(1+vanilla1)^0.5)-SUM($H319:J319),(Input!$H$164*(1+vanilla1)^0.5)/A22stdlife))</f>
        <v>n/a</v>
      </c>
      <c r="L319" s="69" t="str">
        <f>IF(A22stdlife="n/a","n/a",IF(L$3&gt;(A22stdlife+$F319),(Input!$H$164*(1+vanilla1)^0.5)-SUM($H319:K319),(Input!$H$164*(1+vanilla1)^0.5)/A22stdlife))</f>
        <v>n/a</v>
      </c>
      <c r="M319" s="69" t="str">
        <f>IF(A22stdlife="n/a","n/a",IF(M$3&gt;(A22stdlife+$F319),(Input!$H$164*(1+vanilla1)^0.5)-SUM($H319:L319),(Input!$H$164*(1+vanilla1)^0.5)/A22stdlife))</f>
        <v>n/a</v>
      </c>
      <c r="N319" s="69" t="str">
        <f>IF(A22stdlife="n/a","n/a",IF(N$3&gt;(A22stdlife+$F319),(Input!$H$164*(1+vanilla1)^0.5)-SUM($H319:M319),(Input!$H$164*(1+vanilla1)^0.5)/A22stdlife))</f>
        <v>n/a</v>
      </c>
      <c r="O319" s="69" t="str">
        <f>IF(A22stdlife="n/a","n/a",IF(O$3&gt;(A22stdlife+$F319),(Input!$H$164*(1+vanilla1)^0.5)-SUM($H319:N319),(Input!$H$164*(1+vanilla1)^0.5)/A22stdlife))</f>
        <v>n/a</v>
      </c>
      <c r="P319" s="69" t="str">
        <f>IF(A22stdlife="n/a","n/a",IF(P$3&gt;(A22stdlife+$F319),(Input!$H$164*(1+vanilla1)^0.5)-SUM($H319:O319),(Input!$H$164*(1+vanilla1)^0.5)/A22stdlife))</f>
        <v>n/a</v>
      </c>
      <c r="Q319" s="69" t="str">
        <f>IF(A22stdlife="n/a","n/a",IF(Q$3&gt;(A22stdlife+$F319),(Input!$H$164*(1+vanilla1)^0.5)-SUM($H319:P319),(Input!$H$164*(1+vanilla1)^0.5)/A22stdlife))</f>
        <v>n/a</v>
      </c>
      <c r="R319" s="69"/>
      <c r="S319" s="104"/>
      <c r="T319" s="104"/>
      <c r="U319" s="104"/>
      <c r="V319" s="104"/>
      <c r="W319" s="104"/>
      <c r="X319" s="104"/>
      <c r="Y319" s="104"/>
      <c r="Z319" s="104"/>
      <c r="AA319" s="104"/>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37"/>
      <c r="F320" s="87">
        <v>2</v>
      </c>
      <c r="G320" s="124"/>
      <c r="H320" s="149"/>
      <c r="I320" s="150"/>
      <c r="J320" s="69" t="str">
        <f>IF(A22stdlife="n/a","n/a",IF(J$3&gt;(A22stdlife+$F320),(Input!$I$164*(1+vanilla2)^0.5)-SUM($I320:I320),(Input!$I$164*(1+vanilla2)^0.5)/A22stdlife))</f>
        <v>n/a</v>
      </c>
      <c r="K320" s="69" t="str">
        <f>IF(A22stdlife="n/a","n/a",IF(K$3&gt;(A22stdlife+$F320),(Input!$I$164*(1+vanilla2)^0.5)-SUM($I320:J320),(Input!$I$164*(1+vanilla2)^0.5)/A22stdlife))</f>
        <v>n/a</v>
      </c>
      <c r="L320" s="69" t="str">
        <f>IF(A22stdlife="n/a","n/a",IF(L$3&gt;(A22stdlife+$F320),(Input!$I$164*(1+vanilla2)^0.5)-SUM($I320:K320),(Input!$I$164*(1+vanilla2)^0.5)/A22stdlife))</f>
        <v>n/a</v>
      </c>
      <c r="M320" s="69" t="str">
        <f>IF(A22stdlife="n/a","n/a",IF(M$3&gt;(A22stdlife+$F320),(Input!$I$164*(1+vanilla2)^0.5)-SUM($I320:L320),(Input!$I$164*(1+vanilla2)^0.5)/A22stdlife))</f>
        <v>n/a</v>
      </c>
      <c r="N320" s="69" t="str">
        <f>IF(A22stdlife="n/a","n/a",IF(N$3&gt;(A22stdlife+$F320),(Input!$I$164*(1+vanilla2)^0.5)-SUM($I320:M320),(Input!$I$164*(1+vanilla2)^0.5)/A22stdlife))</f>
        <v>n/a</v>
      </c>
      <c r="O320" s="69" t="str">
        <f>IF(A22stdlife="n/a","n/a",IF(O$3&gt;(A22stdlife+$F320),(Input!$I$164*(1+vanilla2)^0.5)-SUM($I320:N320),(Input!$I$164*(1+vanilla2)^0.5)/A22stdlife))</f>
        <v>n/a</v>
      </c>
      <c r="P320" s="69" t="str">
        <f>IF(A22stdlife="n/a","n/a",IF(P$3&gt;(A22stdlife+$F320),(Input!$I$164*(1+vanilla2)^0.5)-SUM($I320:O320),(Input!$I$164*(1+vanilla2)^0.5)/A22stdlife))</f>
        <v>n/a</v>
      </c>
      <c r="Q320" s="69" t="str">
        <f>IF(A22stdlife="n/a","n/a",IF(Q$3&gt;(A22stdlife+$F320),(Input!$I$164*(1+vanilla2)^0.5)-SUM($I320:P320),(Input!$I$164*(1+vanilla2)^0.5)/A22stdlife))</f>
        <v>n/a</v>
      </c>
      <c r="R320" s="69"/>
      <c r="S320" s="104"/>
      <c r="T320" s="104"/>
      <c r="U320" s="104"/>
      <c r="V320" s="104"/>
      <c r="W320" s="104"/>
      <c r="X320" s="104"/>
      <c r="Y320" s="104"/>
      <c r="Z320" s="104"/>
      <c r="AA320" s="104"/>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37"/>
      <c r="F321" s="87">
        <v>3</v>
      </c>
      <c r="G321" s="124"/>
      <c r="H321" s="149"/>
      <c r="I321" s="151"/>
      <c r="J321" s="150"/>
      <c r="K321" s="69" t="str">
        <f>IF(A22stdlife="n/a","n/a",IF(K$3&gt;(A22stdlife+$F321),(Input!$J$164*(1+vanilla3)^0.5)-SUM($J321:J321),(Input!$J$164*(1+vanilla3)^0.5)/A22stdlife))</f>
        <v>n/a</v>
      </c>
      <c r="L321" s="69" t="str">
        <f>IF(A22stdlife="n/a","n/a",IF(L$3&gt;(A22stdlife+$F321),(Input!$J$164*(1+vanilla3)^0.5)-SUM($J321:K321),(Input!$J$164*(1+vanilla3)^0.5)/A22stdlife))</f>
        <v>n/a</v>
      </c>
      <c r="M321" s="69" t="str">
        <f>IF(A22stdlife="n/a","n/a",IF(M$3&gt;(A22stdlife+$F321),(Input!$J$164*(1+vanilla3)^0.5)-SUM($J321:L321),(Input!$J$164*(1+vanilla3)^0.5)/A22stdlife))</f>
        <v>n/a</v>
      </c>
      <c r="N321" s="69" t="str">
        <f>IF(A22stdlife="n/a","n/a",IF(N$3&gt;(A22stdlife+$F321),(Input!$J$164*(1+vanilla3)^0.5)-SUM($J321:M321),(Input!$J$164*(1+vanilla3)^0.5)/A22stdlife))</f>
        <v>n/a</v>
      </c>
      <c r="O321" s="69" t="str">
        <f>IF(A22stdlife="n/a","n/a",IF(O$3&gt;(A22stdlife+$F321),(Input!$J$164*(1+vanilla3)^0.5)-SUM($J321:N321),(Input!$J$164*(1+vanilla3)^0.5)/A22stdlife))</f>
        <v>n/a</v>
      </c>
      <c r="P321" s="69" t="str">
        <f>IF(A22stdlife="n/a","n/a",IF(P$3&gt;(A22stdlife+$F321),(Input!$J$164*(1+vanilla3)^0.5)-SUM($J321:O321),(Input!$J$164*(1+vanilla3)^0.5)/A22stdlife))</f>
        <v>n/a</v>
      </c>
      <c r="Q321" s="69" t="str">
        <f>IF(A22stdlife="n/a","n/a",IF(Q$3&gt;(A22stdlife+$F321),(Input!$J$164*(1+vanilla3)^0.5)-SUM($J321:P321),(Input!$J$164*(1+vanilla3)^0.5)/A22stdlife))</f>
        <v>n/a</v>
      </c>
      <c r="R321" s="69"/>
      <c r="S321" s="104"/>
      <c r="T321" s="104"/>
      <c r="U321" s="104"/>
      <c r="V321" s="104"/>
      <c r="W321" s="104"/>
      <c r="X321" s="104"/>
      <c r="Y321" s="104"/>
      <c r="Z321" s="104"/>
      <c r="AA321" s="104"/>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537"/>
      <c r="F322" s="87">
        <v>4</v>
      </c>
      <c r="G322" s="124"/>
      <c r="H322" s="149"/>
      <c r="I322" s="151"/>
      <c r="J322" s="151"/>
      <c r="K322" s="150"/>
      <c r="L322" s="69" t="str">
        <f>IF(A22stdlife="n/a","n/a",IF(L$3&gt;(A22stdlife+$F322),(Input!$K$164*(1+vanilla4)^0.5)-SUM($K322:K322),(Input!$K$164*(1+vanilla4)^0.5)/A22stdlife))</f>
        <v>n/a</v>
      </c>
      <c r="M322" s="69" t="str">
        <f>IF(A22stdlife="n/a","n/a",IF(M$3&gt;(A22stdlife+$F322),(Input!$K$164*(1+vanilla4)^0.5)-SUM($K322:L322),(Input!$K$164*(1+vanilla4)^0.5)/A22stdlife))</f>
        <v>n/a</v>
      </c>
      <c r="N322" s="69" t="str">
        <f>IF(A22stdlife="n/a","n/a",IF(N$3&gt;(A22stdlife+$F322),(Input!$K$164*(1+vanilla4)^0.5)-SUM($K322:M322),(Input!$K$164*(1+vanilla4)^0.5)/A22stdlife))</f>
        <v>n/a</v>
      </c>
      <c r="O322" s="69" t="str">
        <f>IF(A22stdlife="n/a","n/a",IF(O$3&gt;(A22stdlife+$F322),(Input!$K$164*(1+vanilla4)^0.5)-SUM($K322:N322),(Input!$K$164*(1+vanilla4)^0.5)/A22stdlife))</f>
        <v>n/a</v>
      </c>
      <c r="P322" s="69" t="str">
        <f>IF(A22stdlife="n/a","n/a",IF(P$3&gt;(A22stdlife+$F322),(Input!$K$164*(1+vanilla4)^0.5)-SUM($K322:O322),(Input!$K$164*(1+vanilla4)^0.5)/A22stdlife))</f>
        <v>n/a</v>
      </c>
      <c r="Q322" s="69" t="str">
        <f>IF(A22stdlife="n/a","n/a",IF(Q$3&gt;(A22stdlife+$F322),(Input!$K$164*(1+vanilla4)^0.5)-SUM($K322:P322),(Input!$K$164*(1+vanilla4)^0.5)/A22stdlife))</f>
        <v>n/a</v>
      </c>
      <c r="R322" s="69"/>
      <c r="S322" s="104"/>
      <c r="T322" s="104"/>
      <c r="U322" s="104"/>
      <c r="V322" s="104"/>
      <c r="W322" s="104"/>
      <c r="X322" s="104"/>
      <c r="Y322" s="104"/>
      <c r="Z322" s="104"/>
      <c r="AA322" s="104"/>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537"/>
      <c r="F323" s="87">
        <v>5</v>
      </c>
      <c r="G323" s="27"/>
      <c r="H323" s="149"/>
      <c r="I323" s="151"/>
      <c r="J323" s="151"/>
      <c r="K323" s="151"/>
      <c r="L323" s="150"/>
      <c r="M323" s="69" t="str">
        <f>IF(A22stdlife="n/a","n/a",IF(M$3&gt;(A22stdlife+$F323),(Input!$L$164*(1+vanilla5)^0.5)-SUM($L323:L323),(Input!$L$164*(1+vanilla5)^0.5)/A22stdlife))</f>
        <v>n/a</v>
      </c>
      <c r="N323" s="69" t="str">
        <f>IF(A22stdlife="n/a","n/a",IF(N$3&gt;(A22stdlife+$F323),(Input!$L$164*(1+vanilla5)^0.5)-SUM($L323:M323),(Input!$L$164*(1+vanilla5)^0.5)/A22stdlife))</f>
        <v>n/a</v>
      </c>
      <c r="O323" s="69" t="str">
        <f>IF(A22stdlife="n/a","n/a",IF(O$3&gt;(A22stdlife+$F323),(Input!$L$164*(1+vanilla5)^0.5)-SUM($L323:N323),(Input!$L$164*(1+vanilla5)^0.5)/A22stdlife))</f>
        <v>n/a</v>
      </c>
      <c r="P323" s="69" t="str">
        <f>IF(A22stdlife="n/a","n/a",IF(P$3&gt;(A22stdlife+$F323),(Input!$L$164*(1+vanilla5)^0.5)-SUM($L323:O323),(Input!$L$164*(1+vanilla5)^0.5)/A22stdlife))</f>
        <v>n/a</v>
      </c>
      <c r="Q323" s="69" t="str">
        <f>IF(A22stdlife="n/a","n/a",IF(Q$3&gt;(A22stdlife+$F323),(Input!$L$164*(1+vanilla5)^0.5)-SUM($L323:P323),(Input!$L$164*(1+vanilla5)^0.5)/A22stdlife))</f>
        <v>n/a</v>
      </c>
      <c r="R323" s="69"/>
      <c r="S323" s="104"/>
      <c r="T323" s="104"/>
      <c r="U323" s="104"/>
      <c r="V323" s="104"/>
      <c r="W323" s="104"/>
      <c r="X323" s="104"/>
      <c r="Y323" s="104"/>
      <c r="Z323" s="104"/>
      <c r="AA323" s="104"/>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537"/>
      <c r="F324" s="87">
        <v>6</v>
      </c>
      <c r="G324" s="27"/>
      <c r="H324" s="149"/>
      <c r="I324" s="151"/>
      <c r="J324" s="151"/>
      <c r="K324" s="151"/>
      <c r="L324" s="151"/>
      <c r="M324" s="150"/>
      <c r="N324" s="69" t="str">
        <f>IF(A22stdlife="n/a","n/a",IF(N$3&gt;(A22stdlife+$F324),(Input!$M$164*(1+vanilla6)^0.5)-SUM($M324:M324),(Input!$M$164*(1+vanilla6)^0.5)/A22stdlife))</f>
        <v>n/a</v>
      </c>
      <c r="O324" s="69" t="str">
        <f>IF(A22stdlife="n/a","n/a",IF(O$3&gt;(A22stdlife+$F324),(Input!$M$164*(1+vanilla6)^0.5)-SUM($M324:N324),(Input!$M$164*(1+vanilla6)^0.5)/A22stdlife))</f>
        <v>n/a</v>
      </c>
      <c r="P324" s="69" t="str">
        <f>IF(A22stdlife="n/a","n/a",IF(P$3&gt;(A22stdlife+$F324),(Input!$M$164*(1+vanilla6)^0.5)-SUM($M324:O324),(Input!$M$164*(1+vanilla6)^0.5)/A22stdlife))</f>
        <v>n/a</v>
      </c>
      <c r="Q324" s="69" t="str">
        <f>IF(A22stdlife="n/a","n/a",IF(Q$3&gt;(A22stdlife+$F324),(Input!$M$164*(1+vanilla6)^0.5)-SUM($M324:P324),(Input!$M$164*(1+vanilla6)^0.5)/A22stdlife))</f>
        <v>n/a</v>
      </c>
      <c r="R324" s="69"/>
      <c r="S324" s="104"/>
      <c r="T324" s="104"/>
      <c r="U324" s="104"/>
      <c r="V324" s="104"/>
      <c r="W324" s="104"/>
      <c r="X324" s="104"/>
      <c r="Y324" s="104"/>
      <c r="Z324" s="104"/>
      <c r="AA324" s="104"/>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37"/>
      <c r="F325" s="87">
        <v>7</v>
      </c>
      <c r="G325" s="27"/>
      <c r="H325" s="149"/>
      <c r="I325" s="151"/>
      <c r="J325" s="151"/>
      <c r="K325" s="151"/>
      <c r="L325" s="151"/>
      <c r="M325" s="151"/>
      <c r="N325" s="150"/>
      <c r="O325" s="69" t="str">
        <f>IF(A22stdlife="n/a","n/a",IF(O$3&gt;(A22stdlife+$F325),(Input!N$164*(1+vanilla7)^0.5)-SUM($N325:N325),(Input!$N$164*(1+vanilla7)^0.5)/A22stdlife))</f>
        <v>n/a</v>
      </c>
      <c r="P325" s="69" t="str">
        <f>IF(A22stdlife="n/a","n/a",IF(P$3&gt;(A22stdlife+$F325),(Input!O$164*(1+vanilla7)^0.5)-SUM($N325:O325),(Input!$N$164*(1+vanilla7)^0.5)/A22stdlife))</f>
        <v>n/a</v>
      </c>
      <c r="Q325" s="69" t="str">
        <f>IF(A22stdlife="n/a","n/a",IF(Q$3&gt;(A22stdlife+$F325),(Input!P$164*(1+vanilla7)^0.5)-SUM($N325:P325),(Input!$N$164*(1+vanilla7)^0.5)/A22stdlife))</f>
        <v>n/a</v>
      </c>
      <c r="R325" s="69"/>
      <c r="S325" s="104"/>
      <c r="T325" s="104"/>
      <c r="U325" s="104"/>
      <c r="V325" s="104"/>
      <c r="W325" s="104"/>
      <c r="X325" s="104"/>
      <c r="Y325" s="104"/>
      <c r="Z325" s="104"/>
      <c r="AA325" s="104"/>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37"/>
      <c r="F326" s="87">
        <v>8</v>
      </c>
      <c r="G326" s="27"/>
      <c r="H326" s="149"/>
      <c r="I326" s="151"/>
      <c r="J326" s="151"/>
      <c r="K326" s="151"/>
      <c r="L326" s="151"/>
      <c r="M326" s="151"/>
      <c r="N326" s="151"/>
      <c r="O326" s="150"/>
      <c r="P326" s="69" t="str">
        <f>IF(A22stdlife="n/a","n/a",IF(P$3&gt;(A22stdlife+$F326),(Input!$O$164*(1+vanilla8)^0.5)-SUM($O326:O326),(Input!$O$164*(1+vanilla8)^0.5)/A22stdlife))</f>
        <v>n/a</v>
      </c>
      <c r="Q326" s="69" t="str">
        <f>IF(A22stdlife="n/a","n/a",IF(Q$3&gt;(A22stdlife+$F326),(Input!$O$164*(1+vanilla8)^0.5)-SUM($O326:P326),(Input!$O$164*(1+vanilla8)^0.5)/A22stdlife))</f>
        <v>n/a</v>
      </c>
      <c r="R326" s="69"/>
      <c r="S326" s="104"/>
      <c r="T326" s="104"/>
      <c r="U326" s="104"/>
      <c r="V326" s="104"/>
      <c r="W326" s="104"/>
      <c r="X326" s="104"/>
      <c r="Y326" s="104"/>
      <c r="Z326" s="104"/>
      <c r="AA326" s="104"/>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37"/>
      <c r="F327" s="87">
        <v>9</v>
      </c>
      <c r="G327" s="27"/>
      <c r="H327" s="149"/>
      <c r="I327" s="151"/>
      <c r="J327" s="151"/>
      <c r="K327" s="151"/>
      <c r="L327" s="151"/>
      <c r="M327" s="151"/>
      <c r="N327" s="151"/>
      <c r="O327" s="151"/>
      <c r="P327" s="150"/>
      <c r="Q327" s="69" t="str">
        <f>IF(A22stdlife="n/a","n/a",IF(Q$3&gt;(A22stdlife+$F327),(Input!$P$164*(1+vanilla9)^0.5)-SUM($P327:P327),(Input!$P$164*(1+vanilla9)^0.5)/A22stdlife))</f>
        <v>n/a</v>
      </c>
      <c r="R327" s="69"/>
      <c r="S327" s="104"/>
      <c r="T327" s="104"/>
      <c r="U327" s="104"/>
      <c r="V327" s="104"/>
      <c r="W327" s="104"/>
      <c r="X327" s="104"/>
      <c r="Y327" s="104"/>
      <c r="Z327" s="104"/>
      <c r="AA327" s="104"/>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37"/>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8"/>
      <c r="H330" s="68" t="str">
        <f>IF(H$3&gt;A23remlife,A23value-SUM($G330:G330),IF(A23remlife="N/A","n/a",A23value/A23remlife))</f>
        <v>n/a</v>
      </c>
      <c r="I330" s="68" t="str">
        <f>IF(I$3&gt;A23remlife,A23value-SUM($G330:H330),IF(A23remlife="N/A","n/a",A23value/A23remlife))</f>
        <v>n/a</v>
      </c>
      <c r="J330" s="68" t="str">
        <f>IF(J$3&gt;A23remlife,A23value-SUM($G330:I330),IF(A23remlife="N/A","n/a",A23value/A23remlife))</f>
        <v>n/a</v>
      </c>
      <c r="K330" s="68" t="str">
        <f>IF(K$3&gt;A23remlife,A23value-SUM($G330:J330),IF(A23remlife="N/A","n/a",A23value/A23remlife))</f>
        <v>n/a</v>
      </c>
      <c r="L330" s="68" t="str">
        <f>IF(L$3&gt;A23remlife,A23value-SUM($G330:K330),IF(A23remlife="N/A","n/a",A23value/A23remlife))</f>
        <v>n/a</v>
      </c>
      <c r="M330" s="68" t="str">
        <f>IF(M$3&gt;A23remlife,A23value-SUM($G330:L330),IF(A23remlife="N/A","n/a",A23value/A23remlife))</f>
        <v>n/a</v>
      </c>
      <c r="N330" s="68" t="str">
        <f>IF(N$3&gt;A23remlife,A23value-SUM($G330:M330),IF(A23remlife="N/A","n/a",A23value/A23remlife))</f>
        <v>n/a</v>
      </c>
      <c r="O330" s="68" t="str">
        <f>IF(O$3&gt;A23remlife,A23value-SUM($G330:N330),IF(A23remlife="N/A","n/a",A23value/A23remlife))</f>
        <v>n/a</v>
      </c>
      <c r="P330" s="68" t="str">
        <f>IF(P$3&gt;A23remlife,A23value-SUM($G330:O330),IF(A23remlife="N/A","n/a",A23value/A23remlife))</f>
        <v>n/a</v>
      </c>
      <c r="Q330" s="68" t="str">
        <f>IF(Q$3&gt;A23remlife,A23value-SUM($G330:P330),IF(A23remlife="N/A","n/a",A23value/A23remlife))</f>
        <v>n/a</v>
      </c>
      <c r="R330" s="68"/>
      <c r="S330" s="104"/>
      <c r="T330" s="104"/>
      <c r="U330" s="104"/>
      <c r="V330" s="104"/>
      <c r="W330" s="104"/>
      <c r="X330" s="104"/>
      <c r="Y330" s="104"/>
      <c r="Z330" s="104"/>
      <c r="AA330" s="104"/>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536" t="s">
        <v>86</v>
      </c>
      <c r="F331" s="87">
        <v>0</v>
      </c>
      <c r="G331" s="124"/>
      <c r="H331" s="69"/>
      <c r="I331" s="69"/>
      <c r="J331" s="69"/>
      <c r="K331" s="69"/>
      <c r="L331" s="69"/>
      <c r="M331" s="166"/>
      <c r="N331" s="113"/>
      <c r="O331" s="69"/>
      <c r="P331" s="69"/>
      <c r="Q331" s="69"/>
      <c r="R331" s="69"/>
      <c r="S331" s="104"/>
      <c r="T331" s="104"/>
      <c r="U331" s="104"/>
      <c r="V331" s="104"/>
      <c r="W331" s="104"/>
      <c r="X331" s="104"/>
      <c r="Y331" s="104"/>
      <c r="Z331" s="104"/>
      <c r="AA331" s="104"/>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37"/>
      <c r="F332" s="87">
        <v>1</v>
      </c>
      <c r="G332" s="124"/>
      <c r="H332" s="148"/>
      <c r="I332" s="69" t="str">
        <f>IF(A23stdlife="n/a","n/a",IF(I$3&gt;(A23stdlife+$F332),(Input!$H$165*(1+vanilla1)^0.5)-SUM($H332:H332),(Input!$H$165*(1+vanilla1)^0.5)/A23stdlife))</f>
        <v>n/a</v>
      </c>
      <c r="J332" s="69" t="str">
        <f>IF(A23stdlife="n/a","n/a",IF(J$3&gt;(A23stdlife+$F332),(Input!$H$165*(1+vanilla1)^0.5)-SUM($H332:I332),(Input!$H$165*(1+vanilla1)^0.5)/A23stdlife))</f>
        <v>n/a</v>
      </c>
      <c r="K332" s="69" t="str">
        <f>IF(A23stdlife="n/a","n/a",IF(K$3&gt;(A23stdlife+$F332),(Input!$H$165*(1+vanilla1)^0.5)-SUM($H332:J332),(Input!$H$165*(1+vanilla1)^0.5)/A23stdlife))</f>
        <v>n/a</v>
      </c>
      <c r="L332" s="69" t="str">
        <f>IF(A23stdlife="n/a","n/a",IF(L$3&gt;(A23stdlife+$F332),(Input!$H$165*(1+vanilla1)^0.5)-SUM($H332:K332),(Input!$H$165*(1+vanilla1)^0.5)/A23stdlife))</f>
        <v>n/a</v>
      </c>
      <c r="M332" s="69" t="str">
        <f>IF(A23stdlife="n/a","n/a",IF(M$3&gt;(A23stdlife+$F332),(Input!$H$165*(1+vanilla1)^0.5)-SUM($H332:L332),(Input!$H$165*(1+vanilla1)^0.5)/A23stdlife))</f>
        <v>n/a</v>
      </c>
      <c r="N332" s="69" t="str">
        <f>IF(A23stdlife="n/a","n/a",IF(N$3&gt;(A23stdlife+$F332),(Input!$H$165*(1+vanilla1)^0.5)-SUM($H332:M332),(Input!$H$165*(1+vanilla1)^0.5)/A23stdlife))</f>
        <v>n/a</v>
      </c>
      <c r="O332" s="69" t="str">
        <f>IF(A23stdlife="n/a","n/a",IF(O$3&gt;(A23stdlife+$F332),(Input!$H$165*(1+vanilla1)^0.5)-SUM($H332:N332),(Input!$H$165*(1+vanilla1)^0.5)/A23stdlife))</f>
        <v>n/a</v>
      </c>
      <c r="P332" s="69" t="str">
        <f>IF(A23stdlife="n/a","n/a",IF(P$3&gt;(A23stdlife+$F332),(Input!$H$165*(1+vanilla1)^0.5)-SUM($H332:O332),(Input!$H$165*(1+vanilla1)^0.5)/A23stdlife))</f>
        <v>n/a</v>
      </c>
      <c r="Q332" s="69" t="str">
        <f>IF(A23stdlife="n/a","n/a",IF(Q$3&gt;(A23stdlife+$F332),(Input!$H$165*(1+vanilla1)^0.5)-SUM($H332:P332),(Input!$H$165*(1+vanilla1)^0.5)/A23stdlife))</f>
        <v>n/a</v>
      </c>
      <c r="R332" s="69"/>
      <c r="S332" s="104"/>
      <c r="T332" s="104"/>
      <c r="U332" s="104"/>
      <c r="V332" s="104"/>
      <c r="W332" s="104"/>
      <c r="X332" s="104"/>
      <c r="Y332" s="104"/>
      <c r="Z332" s="104"/>
      <c r="AA332" s="104"/>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37"/>
      <c r="F333" s="87">
        <v>2</v>
      </c>
      <c r="G333" s="124"/>
      <c r="H333" s="149"/>
      <c r="I333" s="150"/>
      <c r="J333" s="69" t="str">
        <f>IF(A23stdlife="n/a","n/a",IF(J$3&gt;(A23stdlife+$F333),(Input!$I$165*(1+vanilla2)^0.5)-SUM($I333:I333),(Input!$I$165*(1+vanilla2)^0.5)/A23stdlife))</f>
        <v>n/a</v>
      </c>
      <c r="K333" s="69" t="str">
        <f>IF(A23stdlife="n/a","n/a",IF(K$3&gt;(A23stdlife+$F333),(Input!$I$165*(1+vanilla2)^0.5)-SUM($I333:J333),(Input!$I$165*(1+vanilla2)^0.5)/A23stdlife))</f>
        <v>n/a</v>
      </c>
      <c r="L333" s="69" t="str">
        <f>IF(A23stdlife="n/a","n/a",IF(L$3&gt;(A23stdlife+$F333),(Input!$I$165*(1+vanilla2)^0.5)-SUM($I333:K333),(Input!$I$165*(1+vanilla2)^0.5)/A23stdlife))</f>
        <v>n/a</v>
      </c>
      <c r="M333" s="69" t="str">
        <f>IF(A23stdlife="n/a","n/a",IF(M$3&gt;(A23stdlife+$F333),(Input!$I$165*(1+vanilla2)^0.5)-SUM($I333:L333),(Input!$I$165*(1+vanilla2)^0.5)/A23stdlife))</f>
        <v>n/a</v>
      </c>
      <c r="N333" s="69" t="str">
        <f>IF(A23stdlife="n/a","n/a",IF(N$3&gt;(A23stdlife+$F333),(Input!$I$165*(1+vanilla2)^0.5)-SUM($I333:M333),(Input!$I$165*(1+vanilla2)^0.5)/A23stdlife))</f>
        <v>n/a</v>
      </c>
      <c r="O333" s="69" t="str">
        <f>IF(A23stdlife="n/a","n/a",IF(O$3&gt;(A23stdlife+$F333),(Input!$I$165*(1+vanilla2)^0.5)-SUM($I333:N333),(Input!$I$165*(1+vanilla2)^0.5)/A23stdlife))</f>
        <v>n/a</v>
      </c>
      <c r="P333" s="69" t="str">
        <f>IF(A23stdlife="n/a","n/a",IF(P$3&gt;(A23stdlife+$F333),(Input!$I$165*(1+vanilla2)^0.5)-SUM($I333:O333),(Input!$I$165*(1+vanilla2)^0.5)/A23stdlife))</f>
        <v>n/a</v>
      </c>
      <c r="Q333" s="69" t="str">
        <f>IF(A23stdlife="n/a","n/a",IF(Q$3&gt;(A23stdlife+$F333),(Input!$I$165*(1+vanilla2)^0.5)-SUM($I333:P333),(Input!$I$165*(1+vanilla2)^0.5)/A23stdlife))</f>
        <v>n/a</v>
      </c>
      <c r="R333" s="69"/>
      <c r="S333" s="104"/>
      <c r="T333" s="104"/>
      <c r="U333" s="104"/>
      <c r="V333" s="104"/>
      <c r="W333" s="104"/>
      <c r="X333" s="104"/>
      <c r="Y333" s="104"/>
      <c r="Z333" s="104"/>
      <c r="AA333" s="104"/>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37"/>
      <c r="F334" s="87">
        <v>3</v>
      </c>
      <c r="G334" s="124"/>
      <c r="H334" s="149"/>
      <c r="I334" s="151"/>
      <c r="J334" s="150"/>
      <c r="K334" s="69" t="str">
        <f>IF(A23stdlife="n/a","n/a",IF(K$3&gt;(A23stdlife+$F334),(Input!$J$165*(1+vanilla3)^0.5)-SUM($J334:J334),(Input!$J$165*(1+vanilla3)^0.5)/A23stdlife))</f>
        <v>n/a</v>
      </c>
      <c r="L334" s="69" t="str">
        <f>IF(A23stdlife="n/a","n/a",IF(L$3&gt;(A23stdlife+$F334),(Input!$J$165*(1+vanilla3)^0.5)-SUM($J334:K334),(Input!$J$165*(1+vanilla3)^0.5)/A23stdlife))</f>
        <v>n/a</v>
      </c>
      <c r="M334" s="69" t="str">
        <f>IF(A23stdlife="n/a","n/a",IF(M$3&gt;(A23stdlife+$F334),(Input!$J$165*(1+vanilla3)^0.5)-SUM($J334:L334),(Input!$J$165*(1+vanilla3)^0.5)/A23stdlife))</f>
        <v>n/a</v>
      </c>
      <c r="N334" s="69" t="str">
        <f>IF(A23stdlife="n/a","n/a",IF(N$3&gt;(A23stdlife+$F334),(Input!$J$165*(1+vanilla3)^0.5)-SUM($J334:M334),(Input!$J$165*(1+vanilla3)^0.5)/A23stdlife))</f>
        <v>n/a</v>
      </c>
      <c r="O334" s="69" t="str">
        <f>IF(A23stdlife="n/a","n/a",IF(O$3&gt;(A23stdlife+$F334),(Input!$J$165*(1+vanilla3)^0.5)-SUM($J334:N334),(Input!$J$165*(1+vanilla3)^0.5)/A23stdlife))</f>
        <v>n/a</v>
      </c>
      <c r="P334" s="69" t="str">
        <f>IF(A23stdlife="n/a","n/a",IF(P$3&gt;(A23stdlife+$F334),(Input!$J$165*(1+vanilla3)^0.5)-SUM($J334:O334),(Input!$J$165*(1+vanilla3)^0.5)/A23stdlife))</f>
        <v>n/a</v>
      </c>
      <c r="Q334" s="69" t="str">
        <f>IF(A23stdlife="n/a","n/a",IF(Q$3&gt;(A23stdlife+$F334),(Input!$J$165*(1+vanilla3)^0.5)-SUM($J334:P334),(Input!$J$165*(1+vanilla3)^0.5)/A23stdlife))</f>
        <v>n/a</v>
      </c>
      <c r="R334" s="69"/>
      <c r="S334" s="104"/>
      <c r="T334" s="104"/>
      <c r="U334" s="104"/>
      <c r="V334" s="104"/>
      <c r="W334" s="104"/>
      <c r="X334" s="104"/>
      <c r="Y334" s="104"/>
      <c r="Z334" s="104"/>
      <c r="AA334" s="104"/>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537"/>
      <c r="F335" s="87">
        <v>4</v>
      </c>
      <c r="G335" s="124"/>
      <c r="H335" s="149"/>
      <c r="I335" s="151"/>
      <c r="J335" s="151"/>
      <c r="K335" s="150"/>
      <c r="L335" s="69" t="str">
        <f>IF(A23stdlife="n/a","n/a",IF(L$3&gt;(A23stdlife+$F335),(Input!$K$165*(1+vanilla4)^0.5)-SUM($K335:K335),(Input!$K$165*(1+vanilla4)^0.5)/A23stdlife))</f>
        <v>n/a</v>
      </c>
      <c r="M335" s="69" t="str">
        <f>IF(A23stdlife="n/a","n/a",IF(M$3&gt;(A23stdlife+$F335),(Input!$K$165*(1+vanilla4)^0.5)-SUM($K335:L335),(Input!$K$165*(1+vanilla4)^0.5)/A23stdlife))</f>
        <v>n/a</v>
      </c>
      <c r="N335" s="69" t="str">
        <f>IF(A23stdlife="n/a","n/a",IF(N$3&gt;(A23stdlife+$F335),(Input!$K$165*(1+vanilla4)^0.5)-SUM($K335:M335),(Input!$K$165*(1+vanilla4)^0.5)/A23stdlife))</f>
        <v>n/a</v>
      </c>
      <c r="O335" s="69" t="str">
        <f>IF(A23stdlife="n/a","n/a",IF(O$3&gt;(A23stdlife+$F335),(Input!$K$165*(1+vanilla4)^0.5)-SUM($K335:N335),(Input!$K$165*(1+vanilla4)^0.5)/A23stdlife))</f>
        <v>n/a</v>
      </c>
      <c r="P335" s="69" t="str">
        <f>IF(A23stdlife="n/a","n/a",IF(P$3&gt;(A23stdlife+$F335),(Input!$K$165*(1+vanilla4)^0.5)-SUM($K335:O335),(Input!$K$165*(1+vanilla4)^0.5)/A23stdlife))</f>
        <v>n/a</v>
      </c>
      <c r="Q335" s="69" t="str">
        <f>IF(A23stdlife="n/a","n/a",IF(Q$3&gt;(A23stdlife+$F335),(Input!$K$165*(1+vanilla4)^0.5)-SUM($K335:P335),(Input!$K$165*(1+vanilla4)^0.5)/A23stdlife))</f>
        <v>n/a</v>
      </c>
      <c r="R335" s="69"/>
      <c r="S335" s="104"/>
      <c r="T335" s="104"/>
      <c r="U335" s="104"/>
      <c r="V335" s="104"/>
      <c r="W335" s="104"/>
      <c r="X335" s="104"/>
      <c r="Y335" s="104"/>
      <c r="Z335" s="104"/>
      <c r="AA335" s="104"/>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537"/>
      <c r="F336" s="87">
        <v>5</v>
      </c>
      <c r="G336" s="27"/>
      <c r="H336" s="149"/>
      <c r="I336" s="151"/>
      <c r="J336" s="151"/>
      <c r="K336" s="151"/>
      <c r="L336" s="150"/>
      <c r="M336" s="69" t="str">
        <f>IF(A23stdlife="n/a","n/a",IF(M$3&gt;(A23stdlife+$F336),(Input!$L$165*(1+vanilla5)^0.5)-SUM($L336:L336),(Input!$L$165*(1+vanilla5)^0.5)/A23stdlife))</f>
        <v>n/a</v>
      </c>
      <c r="N336" s="69" t="str">
        <f>IF(A23stdlife="n/a","n/a",IF(N$3&gt;(A23stdlife+$F336),(Input!$L$165*(1+vanilla5)^0.5)-SUM($L336:M336),(Input!$L$165*(1+vanilla5)^0.5)/A23stdlife))</f>
        <v>n/a</v>
      </c>
      <c r="O336" s="69" t="str">
        <f>IF(A23stdlife="n/a","n/a",IF(O$3&gt;(A23stdlife+$F336),(Input!$L$165*(1+vanilla5)^0.5)-SUM($L336:N336),(Input!$L$165*(1+vanilla5)^0.5)/A23stdlife))</f>
        <v>n/a</v>
      </c>
      <c r="P336" s="69" t="str">
        <f>IF(A23stdlife="n/a","n/a",IF(P$3&gt;(A23stdlife+$F336),(Input!$L$165*(1+vanilla5)^0.5)-SUM($L336:O336),(Input!$L$165*(1+vanilla5)^0.5)/A23stdlife))</f>
        <v>n/a</v>
      </c>
      <c r="Q336" s="69" t="str">
        <f>IF(A23stdlife="n/a","n/a",IF(Q$3&gt;(A23stdlife+$F336),(Input!$L$165*(1+vanilla5)^0.5)-SUM($L336:P336),(Input!$L$165*(1+vanilla5)^0.5)/A23stdlife))</f>
        <v>n/a</v>
      </c>
      <c r="R336" s="69"/>
      <c r="S336" s="104"/>
      <c r="T336" s="104"/>
      <c r="U336" s="104"/>
      <c r="V336" s="104"/>
      <c r="W336" s="104"/>
      <c r="X336" s="104"/>
      <c r="Y336" s="104"/>
      <c r="Z336" s="104"/>
      <c r="AA336" s="104"/>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537"/>
      <c r="F337" s="87">
        <v>6</v>
      </c>
      <c r="G337" s="27"/>
      <c r="H337" s="149"/>
      <c r="I337" s="151"/>
      <c r="J337" s="151"/>
      <c r="K337" s="151"/>
      <c r="L337" s="151"/>
      <c r="M337" s="150"/>
      <c r="N337" s="69" t="str">
        <f>IF(A23stdlife="n/a","n/a",IF(N$3&gt;(A23stdlife+$F337),(Input!$M$165*(1+vanilla6)^0.5)-SUM($M337:M337),(Input!$M$165*(1+vanilla6)^0.5)/A23stdlife))</f>
        <v>n/a</v>
      </c>
      <c r="O337" s="69" t="str">
        <f>IF(A23stdlife="n/a","n/a",IF(O$3&gt;(A23stdlife+$F337),(Input!$M$165*(1+vanilla6)^0.5)-SUM($M337:N337),(Input!$M$165*(1+vanilla6)^0.5)/A23stdlife))</f>
        <v>n/a</v>
      </c>
      <c r="P337" s="69" t="str">
        <f>IF(A23stdlife="n/a","n/a",IF(P$3&gt;(A23stdlife+$F337),(Input!$M$165*(1+vanilla6)^0.5)-SUM($M337:O337),(Input!$M$165*(1+vanilla6)^0.5)/A23stdlife))</f>
        <v>n/a</v>
      </c>
      <c r="Q337" s="69" t="str">
        <f>IF(A23stdlife="n/a","n/a",IF(Q$3&gt;(A23stdlife+$F337),(Input!$M$165*(1+vanilla6)^0.5)-SUM($M337:P337),(Input!$M$165*(1+vanilla6)^0.5)/A23stdlife))</f>
        <v>n/a</v>
      </c>
      <c r="R337" s="69"/>
      <c r="S337" s="104"/>
      <c r="T337" s="104"/>
      <c r="U337" s="104"/>
      <c r="V337" s="104"/>
      <c r="W337" s="104"/>
      <c r="X337" s="104"/>
      <c r="Y337" s="104"/>
      <c r="Z337" s="104"/>
      <c r="AA337" s="104"/>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37"/>
      <c r="F338" s="87">
        <v>7</v>
      </c>
      <c r="G338" s="27"/>
      <c r="H338" s="149"/>
      <c r="I338" s="151"/>
      <c r="J338" s="151"/>
      <c r="K338" s="151"/>
      <c r="L338" s="151"/>
      <c r="M338" s="151"/>
      <c r="N338" s="150"/>
      <c r="O338" s="69" t="str">
        <f>IF(A23stdlife="n/a","n/a",IF(O$3&gt;(A23stdlife+$F338),(Input!N$165*(1+vanilla7)^0.5)-SUM($N338:N338),(Input!$N$165*(1+vanilla7)^0.5)/A23stdlife))</f>
        <v>n/a</v>
      </c>
      <c r="P338" s="69" t="str">
        <f>IF(A23stdlife="n/a","n/a",IF(P$3&gt;(A23stdlife+$F338),(Input!O$165*(1+vanilla7)^0.5)-SUM($N338:O338),(Input!$N$165*(1+vanilla7)^0.5)/A23stdlife))</f>
        <v>n/a</v>
      </c>
      <c r="Q338" s="69" t="str">
        <f>IF(A23stdlife="n/a","n/a",IF(Q$3&gt;(A23stdlife+$F338),(Input!P$165*(1+vanilla7)^0.5)-SUM($N338:P338),(Input!$N$165*(1+vanilla7)^0.5)/A23stdlife))</f>
        <v>n/a</v>
      </c>
      <c r="R338" s="69"/>
      <c r="S338" s="104"/>
      <c r="T338" s="104"/>
      <c r="U338" s="104"/>
      <c r="V338" s="104"/>
      <c r="W338" s="104"/>
      <c r="X338" s="104"/>
      <c r="Y338" s="104"/>
      <c r="Z338" s="104"/>
      <c r="AA338" s="104"/>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37"/>
      <c r="F339" s="87">
        <v>8</v>
      </c>
      <c r="G339" s="27"/>
      <c r="H339" s="149"/>
      <c r="I339" s="151"/>
      <c r="J339" s="151"/>
      <c r="K339" s="151"/>
      <c r="L339" s="151"/>
      <c r="M339" s="151"/>
      <c r="N339" s="151"/>
      <c r="O339" s="150"/>
      <c r="P339" s="69" t="str">
        <f>IF(A23stdlife="n/a","n/a",IF(P$3&gt;(A23stdlife+$F339),(Input!$O$165*(1+vanilla8)^0.5)-SUM($O339:O339),(Input!$O$165*(1+vanilla8)^0.5)/A23stdlife))</f>
        <v>n/a</v>
      </c>
      <c r="Q339" s="69" t="str">
        <f>IF(A23stdlife="n/a","n/a",IF(Q$3&gt;(A23stdlife+$F339),(Input!$O$165*(1+vanilla8)^0.5)-SUM($O339:P339),(Input!$O$165*(1+vanilla8)^0.5)/A23stdlife))</f>
        <v>n/a</v>
      </c>
      <c r="R339" s="69"/>
      <c r="S339" s="104"/>
      <c r="T339" s="104"/>
      <c r="U339" s="104"/>
      <c r="V339" s="104"/>
      <c r="W339" s="104"/>
      <c r="X339" s="104"/>
      <c r="Y339" s="104"/>
      <c r="Z339" s="104"/>
      <c r="AA339" s="104"/>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37"/>
      <c r="F340" s="87">
        <v>9</v>
      </c>
      <c r="G340" s="27"/>
      <c r="H340" s="149"/>
      <c r="I340" s="151"/>
      <c r="J340" s="151"/>
      <c r="K340" s="151"/>
      <c r="L340" s="151"/>
      <c r="M340" s="151"/>
      <c r="N340" s="151"/>
      <c r="O340" s="151"/>
      <c r="P340" s="150"/>
      <c r="Q340" s="69" t="str">
        <f>IF(A23stdlife="n/a","n/a",IF(Q$3&gt;(A23stdlife+$F340),(Input!$P$165*(1+vanilla9)^0.5)-SUM($P340:P340),(Input!$P$165*(1+vanilla9)^0.5)/A23stdlife))</f>
        <v>n/a</v>
      </c>
      <c r="R340" s="69"/>
      <c r="S340" s="104"/>
      <c r="T340" s="104"/>
      <c r="U340" s="104"/>
      <c r="V340" s="104"/>
      <c r="W340" s="104"/>
      <c r="X340" s="104"/>
      <c r="Y340" s="104"/>
      <c r="Z340" s="104"/>
      <c r="AA340" s="104"/>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37"/>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225"/>
      <c r="AZ342" s="225"/>
      <c r="BA342" s="225"/>
      <c r="BB342" s="225"/>
      <c r="BC342" s="22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8"/>
      <c r="H343" s="68" t="str">
        <f>IF(H$3&gt;A24remlife,A24value-SUM($G343:G343),IF(A24remlife="N/A","n/a",A24value/A24remlife))</f>
        <v>n/a</v>
      </c>
      <c r="I343" s="68" t="str">
        <f>IF(I$3&gt;A24remlife,A24value-SUM($G343:H343),IF(A24remlife="N/A","n/a",A24value/A24remlife))</f>
        <v>n/a</v>
      </c>
      <c r="J343" s="68" t="str">
        <f>IF(J$3&gt;A24remlife,A24value-SUM($G343:I343),IF(A24remlife="N/A","n/a",A24value/A24remlife))</f>
        <v>n/a</v>
      </c>
      <c r="K343" s="68" t="str">
        <f>IF(K$3&gt;A24remlife,A24value-SUM($G343:J343),IF(A24remlife="N/A","n/a",A24value/A24remlife))</f>
        <v>n/a</v>
      </c>
      <c r="L343" s="68" t="str">
        <f>IF(L$3&gt;A24remlife,A24value-SUM($G343:K343),IF(A24remlife="N/A","n/a",A24value/A24remlife))</f>
        <v>n/a</v>
      </c>
      <c r="M343" s="68" t="str">
        <f>IF(M$3&gt;A24remlife,A24value-SUM($G343:L343),IF(A24remlife="N/A","n/a",A24value/A24remlife))</f>
        <v>n/a</v>
      </c>
      <c r="N343" s="68" t="str">
        <f>IF(N$3&gt;A24remlife,A24value-SUM($G343:M343),IF(A24remlife="N/A","n/a",A24value/A24remlife))</f>
        <v>n/a</v>
      </c>
      <c r="O343" s="68" t="str">
        <f>IF(O$3&gt;A24remlife,A24value-SUM($G343:N343),IF(A24remlife="N/A","n/a",A24value/A24remlife))</f>
        <v>n/a</v>
      </c>
      <c r="P343" s="68" t="str">
        <f>IF(P$3&gt;A24remlife,A24value-SUM($G343:O343),IF(A24remlife="N/A","n/a",A24value/A24remlife))</f>
        <v>n/a</v>
      </c>
      <c r="Q343" s="68" t="str">
        <f>IF(Q$3&gt;A24remlife,A24value-SUM($G343:P343),IF(A24remlife="N/A","n/a",A24value/A24remlife))</f>
        <v>n/a</v>
      </c>
      <c r="R343" s="68"/>
      <c r="S343" s="104"/>
      <c r="T343" s="104"/>
      <c r="U343" s="104"/>
      <c r="V343" s="104"/>
      <c r="W343" s="104"/>
      <c r="X343" s="104"/>
      <c r="Y343" s="104"/>
      <c r="Z343" s="104"/>
      <c r="AA343" s="104"/>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536" t="s">
        <v>86</v>
      </c>
      <c r="F344" s="87">
        <v>0</v>
      </c>
      <c r="G344" s="124"/>
      <c r="H344" s="69"/>
      <c r="I344" s="69"/>
      <c r="J344" s="69"/>
      <c r="K344" s="69"/>
      <c r="L344" s="69"/>
      <c r="M344" s="166"/>
      <c r="N344" s="113"/>
      <c r="O344" s="69"/>
      <c r="P344" s="69"/>
      <c r="Q344" s="69"/>
      <c r="R344" s="69"/>
      <c r="S344" s="104"/>
      <c r="T344" s="104"/>
      <c r="U344" s="104"/>
      <c r="V344" s="104"/>
      <c r="W344" s="104"/>
      <c r="X344" s="104"/>
      <c r="Y344" s="104"/>
      <c r="Z344" s="104"/>
      <c r="AA344" s="104"/>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37"/>
      <c r="F345" s="87">
        <v>1</v>
      </c>
      <c r="G345" s="124"/>
      <c r="H345" s="148"/>
      <c r="I345" s="69" t="str">
        <f>IF(A24stdlife="n/a","n/a",IF(I$3&gt;(A24stdlife+$F345),(Input!$H$166*(1+vanilla1)^0.5)-SUM($H345:H345),(Input!$H$166*(1+vanilla1)^0.5)/A24stdlife))</f>
        <v>n/a</v>
      </c>
      <c r="J345" s="69" t="str">
        <f>IF(A24stdlife="n/a","n/a",IF(J$3&gt;(A24stdlife+$F345),(Input!$H$166*(1+vanilla1)^0.5)-SUM($H345:I345),(Input!$H$166*(1+vanilla1)^0.5)/A24stdlife))</f>
        <v>n/a</v>
      </c>
      <c r="K345" s="69" t="str">
        <f>IF(A24stdlife="n/a","n/a",IF(K$3&gt;(A24stdlife+$F345),(Input!$H$166*(1+vanilla1)^0.5)-SUM($H345:J345),(Input!$H$166*(1+vanilla1)^0.5)/A24stdlife))</f>
        <v>n/a</v>
      </c>
      <c r="L345" s="69" t="str">
        <f>IF(A24stdlife="n/a","n/a",IF(L$3&gt;(A24stdlife+$F345),(Input!$H$166*(1+vanilla1)^0.5)-SUM($H345:K345),(Input!$H$166*(1+vanilla1)^0.5)/A24stdlife))</f>
        <v>n/a</v>
      </c>
      <c r="M345" s="69" t="str">
        <f>IF(A24stdlife="n/a","n/a",IF(M$3&gt;(A24stdlife+$F345),(Input!$H$166*(1+vanilla1)^0.5)-SUM($H345:L345),(Input!$H$166*(1+vanilla1)^0.5)/A24stdlife))</f>
        <v>n/a</v>
      </c>
      <c r="N345" s="69" t="str">
        <f>IF(A24stdlife="n/a","n/a",IF(N$3&gt;(A24stdlife+$F345),(Input!$H$166*(1+vanilla1)^0.5)-SUM($H345:M345),(Input!$H$166*(1+vanilla1)^0.5)/A24stdlife))</f>
        <v>n/a</v>
      </c>
      <c r="O345" s="69" t="str">
        <f>IF(A24stdlife="n/a","n/a",IF(O$3&gt;(A24stdlife+$F345),(Input!$H$166*(1+vanilla1)^0.5)-SUM($H345:N345),(Input!$H$166*(1+vanilla1)^0.5)/A24stdlife))</f>
        <v>n/a</v>
      </c>
      <c r="P345" s="69" t="str">
        <f>IF(A24stdlife="n/a","n/a",IF(P$3&gt;(A24stdlife+$F345),(Input!$H$166*(1+vanilla1)^0.5)-SUM($H345:O345),(Input!$H$166*(1+vanilla1)^0.5)/A24stdlife))</f>
        <v>n/a</v>
      </c>
      <c r="Q345" s="69" t="str">
        <f>IF(A24stdlife="n/a","n/a",IF(Q$3&gt;(A24stdlife+$F345),(Input!$H$166*(1+vanilla1)^0.5)-SUM($H345:P345),(Input!$H$166*(1+vanilla1)^0.5)/A24stdlife))</f>
        <v>n/a</v>
      </c>
      <c r="R345" s="69"/>
      <c r="S345" s="104"/>
      <c r="T345" s="104"/>
      <c r="U345" s="104"/>
      <c r="V345" s="104"/>
      <c r="W345" s="104"/>
      <c r="X345" s="104"/>
      <c r="Y345" s="104"/>
      <c r="Z345" s="104"/>
      <c r="AA345" s="104"/>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37"/>
      <c r="F346" s="87">
        <v>2</v>
      </c>
      <c r="G346" s="124"/>
      <c r="H346" s="149"/>
      <c r="I346" s="150"/>
      <c r="J346" s="69" t="str">
        <f>IF(A24stdlife="n/a","n/a",IF(J$3&gt;(A24stdlife+$F346),(Input!$I$166*(1+vanilla2)^0.5)-SUM($I346:I346),(Input!$I$166*(1+vanilla2)^0.5)/A24stdlife))</f>
        <v>n/a</v>
      </c>
      <c r="K346" s="69" t="str">
        <f>IF(A24stdlife="n/a","n/a",IF(K$3&gt;(A24stdlife+$F346),(Input!$I$166*(1+vanilla2)^0.5)-SUM($I346:J346),(Input!$I$166*(1+vanilla2)^0.5)/A24stdlife))</f>
        <v>n/a</v>
      </c>
      <c r="L346" s="69" t="str">
        <f>IF(A24stdlife="n/a","n/a",IF(L$3&gt;(A24stdlife+$F346),(Input!$I$166*(1+vanilla2)^0.5)-SUM($I346:K346),(Input!$I$166*(1+vanilla2)^0.5)/A24stdlife))</f>
        <v>n/a</v>
      </c>
      <c r="M346" s="69" t="str">
        <f>IF(A24stdlife="n/a","n/a",IF(M$3&gt;(A24stdlife+$F346),(Input!$I$166*(1+vanilla2)^0.5)-SUM($I346:L346),(Input!$I$166*(1+vanilla2)^0.5)/A24stdlife))</f>
        <v>n/a</v>
      </c>
      <c r="N346" s="69" t="str">
        <f>IF(A24stdlife="n/a","n/a",IF(N$3&gt;(A24stdlife+$F346),(Input!$I$166*(1+vanilla2)^0.5)-SUM($I346:M346),(Input!$I$166*(1+vanilla2)^0.5)/A24stdlife))</f>
        <v>n/a</v>
      </c>
      <c r="O346" s="69" t="str">
        <f>IF(A24stdlife="n/a","n/a",IF(O$3&gt;(A24stdlife+$F346),(Input!$I$166*(1+vanilla2)^0.5)-SUM($I346:N346),(Input!$I$166*(1+vanilla2)^0.5)/A24stdlife))</f>
        <v>n/a</v>
      </c>
      <c r="P346" s="69" t="str">
        <f>IF(A24stdlife="n/a","n/a",IF(P$3&gt;(A24stdlife+$F346),(Input!$I$166*(1+vanilla2)^0.5)-SUM($I346:O346),(Input!$I$166*(1+vanilla2)^0.5)/A24stdlife))</f>
        <v>n/a</v>
      </c>
      <c r="Q346" s="69" t="str">
        <f>IF(A24stdlife="n/a","n/a",IF(Q$3&gt;(A24stdlife+$F346),(Input!$I$166*(1+vanilla2)^0.5)-SUM($I346:P346),(Input!$I$166*(1+vanilla2)^0.5)/A24stdlife))</f>
        <v>n/a</v>
      </c>
      <c r="R346" s="69"/>
      <c r="S346" s="104"/>
      <c r="T346" s="104"/>
      <c r="U346" s="104"/>
      <c r="V346" s="104"/>
      <c r="W346" s="104"/>
      <c r="X346" s="104"/>
      <c r="Y346" s="104"/>
      <c r="Z346" s="104"/>
      <c r="AA346" s="104"/>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37"/>
      <c r="F347" s="87">
        <v>3</v>
      </c>
      <c r="G347" s="124"/>
      <c r="H347" s="149"/>
      <c r="I347" s="151"/>
      <c r="J347" s="150"/>
      <c r="K347" s="69" t="str">
        <f>IF(A24stdlife="n/a","n/a",IF(K$3&gt;(A24stdlife+$F347),(Input!$J$166*(1+vanilla3)^0.5)-SUM($J347:J347),(Input!$J$166*(1+vanilla3)^0.5)/A24stdlife))</f>
        <v>n/a</v>
      </c>
      <c r="L347" s="69" t="str">
        <f>IF(A24stdlife="n/a","n/a",IF(L$3&gt;(A24stdlife+$F347),(Input!$J$166*(1+vanilla3)^0.5)-SUM($J347:K347),(Input!$J$166*(1+vanilla3)^0.5)/A24stdlife))</f>
        <v>n/a</v>
      </c>
      <c r="M347" s="69" t="str">
        <f>IF(A24stdlife="n/a","n/a",IF(M$3&gt;(A24stdlife+$F347),(Input!$J$166*(1+vanilla3)^0.5)-SUM($J347:L347),(Input!$J$166*(1+vanilla3)^0.5)/A24stdlife))</f>
        <v>n/a</v>
      </c>
      <c r="N347" s="69" t="str">
        <f>IF(A24stdlife="n/a","n/a",IF(N$3&gt;(A24stdlife+$F347),(Input!$J$166*(1+vanilla3)^0.5)-SUM($J347:M347),(Input!$J$166*(1+vanilla3)^0.5)/A24stdlife))</f>
        <v>n/a</v>
      </c>
      <c r="O347" s="69" t="str">
        <f>IF(A24stdlife="n/a","n/a",IF(O$3&gt;(A24stdlife+$F347),(Input!$J$166*(1+vanilla3)^0.5)-SUM($J347:N347),(Input!$J$166*(1+vanilla3)^0.5)/A24stdlife))</f>
        <v>n/a</v>
      </c>
      <c r="P347" s="69" t="str">
        <f>IF(A24stdlife="n/a","n/a",IF(P$3&gt;(A24stdlife+$F347),(Input!$J$166*(1+vanilla3)^0.5)-SUM($J347:O347),(Input!$J$166*(1+vanilla3)^0.5)/A24stdlife))</f>
        <v>n/a</v>
      </c>
      <c r="Q347" s="69" t="str">
        <f>IF(A24stdlife="n/a","n/a",IF(Q$3&gt;(A24stdlife+$F347),(Input!$J$166*(1+vanilla3)^0.5)-SUM($J347:P347),(Input!$J$166*(1+vanilla3)^0.5)/A24stdlife))</f>
        <v>n/a</v>
      </c>
      <c r="R347" s="69"/>
      <c r="S347" s="104"/>
      <c r="T347" s="104"/>
      <c r="U347" s="104"/>
      <c r="V347" s="104"/>
      <c r="W347" s="104"/>
      <c r="X347" s="104"/>
      <c r="Y347" s="104"/>
      <c r="Z347" s="104"/>
      <c r="AA347" s="104"/>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537"/>
      <c r="F348" s="87">
        <v>4</v>
      </c>
      <c r="G348" s="124"/>
      <c r="H348" s="149"/>
      <c r="I348" s="151"/>
      <c r="J348" s="151"/>
      <c r="K348" s="150"/>
      <c r="L348" s="69" t="str">
        <f>IF(A24stdlife="n/a","n/a",IF(L$3&gt;(A24stdlife+$F348),(Input!$K$166*(1+vanilla4)^0.5)-SUM($K348:K348),(Input!$K$166*(1+vanilla4)^0.5)/A24stdlife))</f>
        <v>n/a</v>
      </c>
      <c r="M348" s="69" t="str">
        <f>IF(A24stdlife="n/a","n/a",IF(M$3&gt;(A24stdlife+$F348),(Input!$K$166*(1+vanilla4)^0.5)-SUM($K348:L348),(Input!$K$166*(1+vanilla4)^0.5)/A24stdlife))</f>
        <v>n/a</v>
      </c>
      <c r="N348" s="69" t="str">
        <f>IF(A24stdlife="n/a","n/a",IF(N$3&gt;(A24stdlife+$F348),(Input!$K$166*(1+vanilla4)^0.5)-SUM($K348:M348),(Input!$K$166*(1+vanilla4)^0.5)/A24stdlife))</f>
        <v>n/a</v>
      </c>
      <c r="O348" s="69" t="str">
        <f>IF(A24stdlife="n/a","n/a",IF(O$3&gt;(A24stdlife+$F348),(Input!$K$166*(1+vanilla4)^0.5)-SUM($K348:N348),(Input!$K$166*(1+vanilla4)^0.5)/A24stdlife))</f>
        <v>n/a</v>
      </c>
      <c r="P348" s="69" t="str">
        <f>IF(A24stdlife="n/a","n/a",IF(P$3&gt;(A24stdlife+$F348),(Input!$K$166*(1+vanilla4)^0.5)-SUM($K348:O348),(Input!$K$166*(1+vanilla4)^0.5)/A24stdlife))</f>
        <v>n/a</v>
      </c>
      <c r="Q348" s="69" t="str">
        <f>IF(A24stdlife="n/a","n/a",IF(Q$3&gt;(A24stdlife+$F348),(Input!$K$166*(1+vanilla4)^0.5)-SUM($K348:P348),(Input!$K$166*(1+vanilla4)^0.5)/A24stdlife))</f>
        <v>n/a</v>
      </c>
      <c r="R348" s="69"/>
      <c r="S348" s="104"/>
      <c r="T348" s="104"/>
      <c r="U348" s="104"/>
      <c r="V348" s="104"/>
      <c r="W348" s="104"/>
      <c r="X348" s="104"/>
      <c r="Y348" s="104"/>
      <c r="Z348" s="104"/>
      <c r="AA348" s="104"/>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537"/>
      <c r="F349" s="87">
        <v>5</v>
      </c>
      <c r="G349" s="27"/>
      <c r="H349" s="149"/>
      <c r="I349" s="151"/>
      <c r="J349" s="151"/>
      <c r="K349" s="151"/>
      <c r="L349" s="150"/>
      <c r="M349" s="69" t="str">
        <f>IF(A24stdlife="n/a","n/a",IF(M$3&gt;(A24stdlife+$F349),(Input!$L$166*(1+vanilla5)^0.5)-SUM($L349:L349),(Input!$L$166*(1+vanilla5)^0.5)/A24stdlife))</f>
        <v>n/a</v>
      </c>
      <c r="N349" s="69" t="str">
        <f>IF(A24stdlife="n/a","n/a",IF(N$3&gt;(A24stdlife+$F349),(Input!$L$166*(1+vanilla5)^0.5)-SUM($L349:M349),(Input!$L$166*(1+vanilla5)^0.5)/A24stdlife))</f>
        <v>n/a</v>
      </c>
      <c r="O349" s="69" t="str">
        <f>IF(A24stdlife="n/a","n/a",IF(O$3&gt;(A24stdlife+$F349),(Input!$L$166*(1+vanilla5)^0.5)-SUM($L349:N349),(Input!$L$166*(1+vanilla5)^0.5)/A24stdlife))</f>
        <v>n/a</v>
      </c>
      <c r="P349" s="69" t="str">
        <f>IF(A24stdlife="n/a","n/a",IF(P$3&gt;(A24stdlife+$F349),(Input!$L$166*(1+vanilla5)^0.5)-SUM($L349:O349),(Input!$L$166*(1+vanilla5)^0.5)/A24stdlife))</f>
        <v>n/a</v>
      </c>
      <c r="Q349" s="69" t="str">
        <f>IF(A24stdlife="n/a","n/a",IF(Q$3&gt;(A24stdlife+$F349),(Input!$L$166*(1+vanilla5)^0.5)-SUM($L349:P349),(Input!$L$166*(1+vanilla5)^0.5)/A24stdlife))</f>
        <v>n/a</v>
      </c>
      <c r="R349" s="69"/>
      <c r="S349" s="104"/>
      <c r="T349" s="104"/>
      <c r="U349" s="104"/>
      <c r="V349" s="104"/>
      <c r="W349" s="104"/>
      <c r="X349" s="104"/>
      <c r="Y349" s="104"/>
      <c r="Z349" s="104"/>
      <c r="AA349" s="104"/>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537"/>
      <c r="F350" s="87">
        <v>6</v>
      </c>
      <c r="G350" s="27"/>
      <c r="H350" s="149"/>
      <c r="I350" s="151"/>
      <c r="J350" s="151"/>
      <c r="K350" s="151"/>
      <c r="L350" s="151"/>
      <c r="M350" s="150"/>
      <c r="N350" s="69" t="str">
        <f>IF(A24stdlife="n/a","n/a",IF(N$3&gt;(A24stdlife+$F350),(Input!$M$166*(1+vanilla6)^0.5)-SUM($M350:M350),(Input!$M$166*(1+vanilla6)^0.5)/A24stdlife))</f>
        <v>n/a</v>
      </c>
      <c r="O350" s="69" t="str">
        <f>IF(A24stdlife="n/a","n/a",IF(O$3&gt;(A24stdlife+$F350),(Input!$M$166*(1+vanilla6)^0.5)-SUM($M350:N350),(Input!$M$166*(1+vanilla6)^0.5)/A24stdlife))</f>
        <v>n/a</v>
      </c>
      <c r="P350" s="69" t="str">
        <f>IF(A24stdlife="n/a","n/a",IF(P$3&gt;(A24stdlife+$F350),(Input!$M$166*(1+vanilla6)^0.5)-SUM($M350:O350),(Input!$M$166*(1+vanilla6)^0.5)/A24stdlife))</f>
        <v>n/a</v>
      </c>
      <c r="Q350" s="69" t="str">
        <f>IF(A24stdlife="n/a","n/a",IF(Q$3&gt;(A24stdlife+$F350),(Input!$M$166*(1+vanilla6)^0.5)-SUM($M350:P350),(Input!$M$166*(1+vanilla6)^0.5)/A24stdlife))</f>
        <v>n/a</v>
      </c>
      <c r="R350" s="69"/>
      <c r="S350" s="104"/>
      <c r="T350" s="104"/>
      <c r="U350" s="104"/>
      <c r="V350" s="104"/>
      <c r="W350" s="104"/>
      <c r="X350" s="104"/>
      <c r="Y350" s="104"/>
      <c r="Z350" s="104"/>
      <c r="AA350" s="104"/>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37"/>
      <c r="F351" s="87">
        <v>7</v>
      </c>
      <c r="G351" s="27"/>
      <c r="H351" s="149"/>
      <c r="I351" s="151"/>
      <c r="J351" s="151"/>
      <c r="K351" s="151"/>
      <c r="L351" s="151"/>
      <c r="M351" s="151"/>
      <c r="N351" s="150"/>
      <c r="O351" s="69" t="str">
        <f>IF(A24stdlife="n/a","n/a",IF(O$3&gt;(A24stdlife+$F351),(Input!N$166*(1+vanilla7)^0.5)-SUM($N351:N351),(Input!$N$166*(1+vanilla7)^0.5)/A24stdlife))</f>
        <v>n/a</v>
      </c>
      <c r="P351" s="69" t="str">
        <f>IF(A24stdlife="n/a","n/a",IF(P$3&gt;(A24stdlife+$F351),(Input!O$166*(1+vanilla7)^0.5)-SUM($N351:O351),(Input!$N$166*(1+vanilla7)^0.5)/A24stdlife))</f>
        <v>n/a</v>
      </c>
      <c r="Q351" s="69" t="str">
        <f>IF(A24stdlife="n/a","n/a",IF(Q$3&gt;(A24stdlife+$F351),(Input!P$166*(1+vanilla7)^0.5)-SUM($N351:P351),(Input!$N$166*(1+vanilla7)^0.5)/A24stdlife))</f>
        <v>n/a</v>
      </c>
      <c r="R351" s="69"/>
      <c r="S351" s="104"/>
      <c r="T351" s="104"/>
      <c r="U351" s="104"/>
      <c r="V351" s="104"/>
      <c r="W351" s="104"/>
      <c r="X351" s="104"/>
      <c r="Y351" s="104"/>
      <c r="Z351" s="104"/>
      <c r="AA351" s="104"/>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37"/>
      <c r="F352" s="87">
        <v>8</v>
      </c>
      <c r="G352" s="27"/>
      <c r="H352" s="149"/>
      <c r="I352" s="151"/>
      <c r="J352" s="151"/>
      <c r="K352" s="151"/>
      <c r="L352" s="151"/>
      <c r="M352" s="151"/>
      <c r="N352" s="151"/>
      <c r="O352" s="150"/>
      <c r="P352" s="69" t="str">
        <f>IF(A24stdlife="n/a","n/a",IF(P$3&gt;(A24stdlife+$F352),(Input!$O$166*(1+vanilla8)^0.5)-SUM($O352:O352),(Input!$O$166*(1+vanilla8)^0.5)/A24stdlife))</f>
        <v>n/a</v>
      </c>
      <c r="Q352" s="69" t="str">
        <f>IF(A24stdlife="n/a","n/a",IF(Q$3&gt;(A24stdlife+$F352),(Input!$O$166*(1+vanilla8)^0.5)-SUM($O352:P352),(Input!$O$166*(1+vanilla8)^0.5)/A24stdlife))</f>
        <v>n/a</v>
      </c>
      <c r="R352" s="69"/>
      <c r="S352" s="104"/>
      <c r="T352" s="104"/>
      <c r="U352" s="104"/>
      <c r="V352" s="104"/>
      <c r="W352" s="104"/>
      <c r="X352" s="104"/>
      <c r="Y352" s="104"/>
      <c r="Z352" s="104"/>
      <c r="AA352" s="104"/>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37"/>
      <c r="F353" s="87">
        <v>9</v>
      </c>
      <c r="G353" s="27"/>
      <c r="H353" s="149"/>
      <c r="I353" s="151"/>
      <c r="J353" s="151"/>
      <c r="K353" s="151"/>
      <c r="L353" s="151"/>
      <c r="M353" s="151"/>
      <c r="N353" s="151"/>
      <c r="O353" s="151"/>
      <c r="P353" s="150"/>
      <c r="Q353" s="69" t="str">
        <f>IF(A24stdlife="n/a","n/a",IF(Q$3&gt;(A24stdlife+$F353),(Input!$P$166*(1+vanilla9)^0.5)-SUM($P353:P353),(Input!$P$166*(1+vanilla9)^0.5)/A24stdlife))</f>
        <v>n/a</v>
      </c>
      <c r="R353" s="69"/>
      <c r="S353" s="104"/>
      <c r="T353" s="104"/>
      <c r="U353" s="104"/>
      <c r="V353" s="104"/>
      <c r="W353" s="104"/>
      <c r="X353" s="104"/>
      <c r="Y353" s="104"/>
      <c r="Z353" s="104"/>
      <c r="AA353" s="104"/>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37"/>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225"/>
      <c r="AZ355" s="225"/>
      <c r="BA355" s="225"/>
      <c r="BB355" s="225"/>
      <c r="BC355" s="22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8"/>
      <c r="H356" s="68" t="str">
        <f>IF(H$3&gt;A25remlife,A25value-SUM($G356:G356),IF(A25remlife="N/A","n/a",A25value/A25remlife))</f>
        <v>n/a</v>
      </c>
      <c r="I356" s="68" t="str">
        <f>IF(I$3&gt;A25remlife,A25value-SUM($G356:H356),IF(A25remlife="N/A","n/a",A25value/A25remlife))</f>
        <v>n/a</v>
      </c>
      <c r="J356" s="68" t="str">
        <f>IF(J$3&gt;A25remlife,A25value-SUM($G356:I356),IF(A25remlife="N/A","n/a",A25value/A25remlife))</f>
        <v>n/a</v>
      </c>
      <c r="K356" s="68" t="str">
        <f>IF(K$3&gt;A25remlife,A25value-SUM($G356:J356),IF(A25remlife="N/A","n/a",A25value/A25remlife))</f>
        <v>n/a</v>
      </c>
      <c r="L356" s="68" t="str">
        <f>IF(L$3&gt;A25remlife,A25value-SUM($G356:K356),IF(A25remlife="N/A","n/a",A25value/A25remlife))</f>
        <v>n/a</v>
      </c>
      <c r="M356" s="68" t="str">
        <f>IF(M$3&gt;A25remlife,A25value-SUM($G356:L356),IF(A25remlife="N/A","n/a",A25value/A25remlife))</f>
        <v>n/a</v>
      </c>
      <c r="N356" s="68" t="str">
        <f>IF(N$3&gt;A25remlife,A25value-SUM($G356:M356),IF(A25remlife="N/A","n/a",A25value/A25remlife))</f>
        <v>n/a</v>
      </c>
      <c r="O356" s="68" t="str">
        <f>IF(O$3&gt;A25remlife,A25value-SUM($G356:N356),IF(A25remlife="N/A","n/a",A25value/A25remlife))</f>
        <v>n/a</v>
      </c>
      <c r="P356" s="68" t="str">
        <f>IF(P$3&gt;A25remlife,A25value-SUM($G356:O356),IF(A25remlife="N/A","n/a",A25value/A25remlife))</f>
        <v>n/a</v>
      </c>
      <c r="Q356" s="68" t="str">
        <f>IF(Q$3&gt;A25remlife,A25value-SUM($G356:P356),IF(A25remlife="N/A","n/a",A25value/A25remlife))</f>
        <v>n/a</v>
      </c>
      <c r="R356" s="68"/>
      <c r="S356" s="104"/>
      <c r="T356" s="104"/>
      <c r="U356" s="104"/>
      <c r="V356" s="104"/>
      <c r="W356" s="104"/>
      <c r="X356" s="104"/>
      <c r="Y356" s="104"/>
      <c r="Z356" s="104"/>
      <c r="AA356" s="104"/>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536" t="s">
        <v>86</v>
      </c>
      <c r="F357" s="87">
        <v>0</v>
      </c>
      <c r="G357" s="124"/>
      <c r="H357" s="69"/>
      <c r="I357" s="69"/>
      <c r="J357" s="69"/>
      <c r="K357" s="69"/>
      <c r="L357" s="69"/>
      <c r="M357" s="166"/>
      <c r="N357" s="113"/>
      <c r="O357" s="69"/>
      <c r="P357" s="69"/>
      <c r="Q357" s="69"/>
      <c r="R357" s="69"/>
      <c r="S357" s="104"/>
      <c r="T357" s="104"/>
      <c r="U357" s="104"/>
      <c r="V357" s="104"/>
      <c r="W357" s="104"/>
      <c r="X357" s="104"/>
      <c r="Y357" s="104"/>
      <c r="Z357" s="104"/>
      <c r="AA357" s="104"/>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37"/>
      <c r="F358" s="87">
        <v>1</v>
      </c>
      <c r="G358" s="124"/>
      <c r="H358" s="148"/>
      <c r="I358" s="69" t="str">
        <f>IF(A25stdlife="n/a","n/a",IF(I$3&gt;(A25stdlife+$F358),(Input!$H$167*(1+vanilla1)^0.5)-SUM($H358:H358),(Input!$H$167*(1+vanilla1)^0.5)/A25stdlife))</f>
        <v>n/a</v>
      </c>
      <c r="J358" s="69" t="str">
        <f>IF(A25stdlife="n/a","n/a",IF(J$3&gt;(A25stdlife+$F358),(Input!$H$167*(1+vanilla1)^0.5)-SUM($H358:I358),(Input!$H$167*(1+vanilla1)^0.5)/A25stdlife))</f>
        <v>n/a</v>
      </c>
      <c r="K358" s="69" t="str">
        <f>IF(A25stdlife="n/a","n/a",IF(K$3&gt;(A25stdlife+$F358),(Input!$H$167*(1+vanilla1)^0.5)-SUM($H358:J358),(Input!$H$167*(1+vanilla1)^0.5)/A25stdlife))</f>
        <v>n/a</v>
      </c>
      <c r="L358" s="69" t="str">
        <f>IF(A25stdlife="n/a","n/a",IF(L$3&gt;(A25stdlife+$F358),(Input!$H$167*(1+vanilla1)^0.5)-SUM($H358:K358),(Input!$H$167*(1+vanilla1)^0.5)/A25stdlife))</f>
        <v>n/a</v>
      </c>
      <c r="M358" s="69" t="str">
        <f>IF(A25stdlife="n/a","n/a",IF(M$3&gt;(A25stdlife+$F358),(Input!$H$167*(1+vanilla1)^0.5)-SUM($H358:L358),(Input!$H$167*(1+vanilla1)^0.5)/A25stdlife))</f>
        <v>n/a</v>
      </c>
      <c r="N358" s="69" t="str">
        <f>IF(A25stdlife="n/a","n/a",IF(N$3&gt;(A25stdlife+$F358),(Input!$H$167*(1+vanilla1)^0.5)-SUM($H358:M358),(Input!$H$167*(1+vanilla1)^0.5)/A25stdlife))</f>
        <v>n/a</v>
      </c>
      <c r="O358" s="69" t="str">
        <f>IF(A25stdlife="n/a","n/a",IF(O$3&gt;(A25stdlife+$F358),(Input!$H$167*(1+vanilla1)^0.5)-SUM($H358:N358),(Input!$H$167*(1+vanilla1)^0.5)/A25stdlife))</f>
        <v>n/a</v>
      </c>
      <c r="P358" s="69" t="str">
        <f>IF(A25stdlife="n/a","n/a",IF(P$3&gt;(A25stdlife+$F358),(Input!$H$167*(1+vanilla1)^0.5)-SUM($H358:O358),(Input!$H$167*(1+vanilla1)^0.5)/A25stdlife))</f>
        <v>n/a</v>
      </c>
      <c r="Q358" s="69" t="str">
        <f>IF(A25stdlife="n/a","n/a",IF(Q$3&gt;(A25stdlife+$F358),(Input!$H$167*(1+vanilla1)^0.5)-SUM($H358:P358),(Input!$H$167*(1+vanilla1)^0.5)/A25stdlife))</f>
        <v>n/a</v>
      </c>
      <c r="R358" s="69"/>
      <c r="S358" s="104"/>
      <c r="T358" s="104"/>
      <c r="U358" s="104"/>
      <c r="V358" s="104"/>
      <c r="W358" s="104"/>
      <c r="X358" s="104"/>
      <c r="Y358" s="104"/>
      <c r="Z358" s="104"/>
      <c r="AA358" s="104"/>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37"/>
      <c r="F359" s="87">
        <v>2</v>
      </c>
      <c r="G359" s="124"/>
      <c r="H359" s="149"/>
      <c r="I359" s="150"/>
      <c r="J359" s="69" t="str">
        <f>IF(A25stdlife="n/a","n/a",IF(J$3&gt;(A25stdlife+$F359),(Input!$I$167*(1+vanilla2)^0.5)-SUM($I359:I359),(Input!$I$167*(1+vanilla2)^0.5)/A25stdlife))</f>
        <v>n/a</v>
      </c>
      <c r="K359" s="69" t="str">
        <f>IF(A25stdlife="n/a","n/a",IF(K$3&gt;(A25stdlife+$F359),(Input!$I$167*(1+vanilla2)^0.5)-SUM($I359:J359),(Input!$I$167*(1+vanilla2)^0.5)/A25stdlife))</f>
        <v>n/a</v>
      </c>
      <c r="L359" s="69" t="str">
        <f>IF(A25stdlife="n/a","n/a",IF(L$3&gt;(A25stdlife+$F359),(Input!$I$167*(1+vanilla2)^0.5)-SUM($I359:K359),(Input!$I$167*(1+vanilla2)^0.5)/A25stdlife))</f>
        <v>n/a</v>
      </c>
      <c r="M359" s="69" t="str">
        <f>IF(A25stdlife="n/a","n/a",IF(M$3&gt;(A25stdlife+$F359),(Input!$I$167*(1+vanilla2)^0.5)-SUM($I359:L359),(Input!$I$167*(1+vanilla2)^0.5)/A25stdlife))</f>
        <v>n/a</v>
      </c>
      <c r="N359" s="69" t="str">
        <f>IF(A25stdlife="n/a","n/a",IF(N$3&gt;(A25stdlife+$F359),(Input!$I$167*(1+vanilla2)^0.5)-SUM($I359:M359),(Input!$I$167*(1+vanilla2)^0.5)/A25stdlife))</f>
        <v>n/a</v>
      </c>
      <c r="O359" s="69" t="str">
        <f>IF(A25stdlife="n/a","n/a",IF(O$3&gt;(A25stdlife+$F359),(Input!$I$167*(1+vanilla2)^0.5)-SUM($I359:N359),(Input!$I$167*(1+vanilla2)^0.5)/A25stdlife))</f>
        <v>n/a</v>
      </c>
      <c r="P359" s="69" t="str">
        <f>IF(A25stdlife="n/a","n/a",IF(P$3&gt;(A25stdlife+$F359),(Input!$I$167*(1+vanilla2)^0.5)-SUM($I359:O359),(Input!$I$167*(1+vanilla2)^0.5)/A25stdlife))</f>
        <v>n/a</v>
      </c>
      <c r="Q359" s="69" t="str">
        <f>IF(A25stdlife="n/a","n/a",IF(Q$3&gt;(A25stdlife+$F359),(Input!$I$167*(1+vanilla2)^0.5)-SUM($I359:P359),(Input!$I$167*(1+vanilla2)^0.5)/A25stdlife))</f>
        <v>n/a</v>
      </c>
      <c r="R359" s="69"/>
      <c r="S359" s="104"/>
      <c r="T359" s="104"/>
      <c r="U359" s="104"/>
      <c r="V359" s="104"/>
      <c r="W359" s="104"/>
      <c r="X359" s="104"/>
      <c r="Y359" s="104"/>
      <c r="Z359" s="104"/>
      <c r="AA359" s="104"/>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37"/>
      <c r="F360" s="87">
        <v>3</v>
      </c>
      <c r="G360" s="124"/>
      <c r="H360" s="149"/>
      <c r="I360" s="151"/>
      <c r="J360" s="150"/>
      <c r="K360" s="69" t="str">
        <f>IF(A25stdlife="n/a","n/a",IF(K$3&gt;(A25stdlife+$F360),(Input!$J$167*(1+vanilla3)^0.5)-SUM($J360:J360),(Input!$J$167*(1+vanilla3)^0.5)/A25stdlife))</f>
        <v>n/a</v>
      </c>
      <c r="L360" s="69" t="str">
        <f>IF(A25stdlife="n/a","n/a",IF(L$3&gt;(A25stdlife+$F360),(Input!$J$167*(1+vanilla3)^0.5)-SUM($J360:K360),(Input!$J$167*(1+vanilla3)^0.5)/A25stdlife))</f>
        <v>n/a</v>
      </c>
      <c r="M360" s="69" t="str">
        <f>IF(A25stdlife="n/a","n/a",IF(M$3&gt;(A25stdlife+$F360),(Input!$J$167*(1+vanilla3)^0.5)-SUM($J360:L360),(Input!$J$167*(1+vanilla3)^0.5)/A25stdlife))</f>
        <v>n/a</v>
      </c>
      <c r="N360" s="69" t="str">
        <f>IF(A25stdlife="n/a","n/a",IF(N$3&gt;(A25stdlife+$F360),(Input!$J$167*(1+vanilla3)^0.5)-SUM($J360:M360),(Input!$J$167*(1+vanilla3)^0.5)/A25stdlife))</f>
        <v>n/a</v>
      </c>
      <c r="O360" s="69" t="str">
        <f>IF(A25stdlife="n/a","n/a",IF(O$3&gt;(A25stdlife+$F360),(Input!$J$167*(1+vanilla3)^0.5)-SUM($J360:N360),(Input!$J$167*(1+vanilla3)^0.5)/A25stdlife))</f>
        <v>n/a</v>
      </c>
      <c r="P360" s="69" t="str">
        <f>IF(A25stdlife="n/a","n/a",IF(P$3&gt;(A25stdlife+$F360),(Input!$J$167*(1+vanilla3)^0.5)-SUM($J360:O360),(Input!$J$167*(1+vanilla3)^0.5)/A25stdlife))</f>
        <v>n/a</v>
      </c>
      <c r="Q360" s="69" t="str">
        <f>IF(A25stdlife="n/a","n/a",IF(Q$3&gt;(A25stdlife+$F360),(Input!$J$167*(1+vanilla3)^0.5)-SUM($J360:P360),(Input!$J$167*(1+vanilla3)^0.5)/A25stdlife))</f>
        <v>n/a</v>
      </c>
      <c r="R360" s="69"/>
      <c r="S360" s="104"/>
      <c r="T360" s="104"/>
      <c r="U360" s="104"/>
      <c r="V360" s="104"/>
      <c r="W360" s="104"/>
      <c r="X360" s="104"/>
      <c r="Y360" s="104"/>
      <c r="Z360" s="104"/>
      <c r="AA360" s="104"/>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537"/>
      <c r="F361" s="87">
        <v>4</v>
      </c>
      <c r="G361" s="124"/>
      <c r="H361" s="149"/>
      <c r="I361" s="151"/>
      <c r="J361" s="151"/>
      <c r="K361" s="150"/>
      <c r="L361" s="69" t="str">
        <f>IF(A25stdlife="n/a","n/a",IF(L$3&gt;(A25stdlife+$F361),(Input!$K$167*(1+vanilla4)^0.5)-SUM($K361:K361),(Input!$K$167*(1+vanilla4)^0.5)/A25stdlife))</f>
        <v>n/a</v>
      </c>
      <c r="M361" s="69" t="str">
        <f>IF(A25stdlife="n/a","n/a",IF(M$3&gt;(A25stdlife+$F361),(Input!$K$167*(1+vanilla4)^0.5)-SUM($K361:L361),(Input!$K$167*(1+vanilla4)^0.5)/A25stdlife))</f>
        <v>n/a</v>
      </c>
      <c r="N361" s="69" t="str">
        <f>IF(A25stdlife="n/a","n/a",IF(N$3&gt;(A25stdlife+$F361),(Input!$K$167*(1+vanilla4)^0.5)-SUM($K361:M361),(Input!$K$167*(1+vanilla4)^0.5)/A25stdlife))</f>
        <v>n/a</v>
      </c>
      <c r="O361" s="69" t="str">
        <f>IF(A25stdlife="n/a","n/a",IF(O$3&gt;(A25stdlife+$F361),(Input!$K$167*(1+vanilla4)^0.5)-SUM($K361:N361),(Input!$K$167*(1+vanilla4)^0.5)/A25stdlife))</f>
        <v>n/a</v>
      </c>
      <c r="P361" s="69" t="str">
        <f>IF(A25stdlife="n/a","n/a",IF(P$3&gt;(A25stdlife+$F361),(Input!$K$167*(1+vanilla4)^0.5)-SUM($K361:O361),(Input!$K$167*(1+vanilla4)^0.5)/A25stdlife))</f>
        <v>n/a</v>
      </c>
      <c r="Q361" s="69" t="str">
        <f>IF(A25stdlife="n/a","n/a",IF(Q$3&gt;(A25stdlife+$F361),(Input!$K$167*(1+vanilla4)^0.5)-SUM($K361:P361),(Input!$K$167*(1+vanilla4)^0.5)/A25stdlife))</f>
        <v>n/a</v>
      </c>
      <c r="R361" s="69"/>
      <c r="S361" s="104"/>
      <c r="T361" s="104"/>
      <c r="U361" s="104"/>
      <c r="V361" s="104"/>
      <c r="W361" s="104"/>
      <c r="X361" s="104"/>
      <c r="Y361" s="104"/>
      <c r="Z361" s="104"/>
      <c r="AA361" s="104"/>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537"/>
      <c r="F362" s="87">
        <v>5</v>
      </c>
      <c r="G362" s="27"/>
      <c r="H362" s="149"/>
      <c r="I362" s="151"/>
      <c r="J362" s="151"/>
      <c r="K362" s="151"/>
      <c r="L362" s="150"/>
      <c r="M362" s="69" t="str">
        <f>IF(A25stdlife="n/a","n/a",IF(M$3&gt;(A25stdlife+$F362),(Input!$L$167*(1+vanilla5)^0.5)-SUM($L362:L362),(Input!$L$167*(1+vanilla5)^0.5)/A25stdlife))</f>
        <v>n/a</v>
      </c>
      <c r="N362" s="69" t="str">
        <f>IF(A25stdlife="n/a","n/a",IF(N$3&gt;(A25stdlife+$F362),(Input!$L$167*(1+vanilla5)^0.5)-SUM($L362:M362),(Input!$L$167*(1+vanilla5)^0.5)/A25stdlife))</f>
        <v>n/a</v>
      </c>
      <c r="O362" s="69" t="str">
        <f>IF(A25stdlife="n/a","n/a",IF(O$3&gt;(A25stdlife+$F362),(Input!$L$167*(1+vanilla5)^0.5)-SUM($L362:N362),(Input!$L$167*(1+vanilla5)^0.5)/A25stdlife))</f>
        <v>n/a</v>
      </c>
      <c r="P362" s="69" t="str">
        <f>IF(A25stdlife="n/a","n/a",IF(P$3&gt;(A25stdlife+$F362),(Input!$L$167*(1+vanilla5)^0.5)-SUM($L362:O362),(Input!$L$167*(1+vanilla5)^0.5)/A25stdlife))</f>
        <v>n/a</v>
      </c>
      <c r="Q362" s="69" t="str">
        <f>IF(A25stdlife="n/a","n/a",IF(Q$3&gt;(A25stdlife+$F362),(Input!$L$167*(1+vanilla5)^0.5)-SUM($L362:P362),(Input!$L$167*(1+vanilla5)^0.5)/A25stdlife))</f>
        <v>n/a</v>
      </c>
      <c r="R362" s="69"/>
      <c r="S362" s="104"/>
      <c r="T362" s="104"/>
      <c r="U362" s="104"/>
      <c r="V362" s="104"/>
      <c r="W362" s="104"/>
      <c r="X362" s="104"/>
      <c r="Y362" s="104"/>
      <c r="Z362" s="104"/>
      <c r="AA362" s="104"/>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537"/>
      <c r="F363" s="87">
        <v>6</v>
      </c>
      <c r="G363" s="27"/>
      <c r="H363" s="149"/>
      <c r="I363" s="151"/>
      <c r="J363" s="151"/>
      <c r="K363" s="151"/>
      <c r="L363" s="151"/>
      <c r="M363" s="150"/>
      <c r="N363" s="69" t="str">
        <f>IF(A25stdlife="n/a","n/a",IF(N$3&gt;(A25stdlife+$F363),(Input!$M$167*(1+vanilla6)^0.5)-SUM($M363:M363),(Input!$M$167*(1+vanilla6)^0.5)/A25stdlife))</f>
        <v>n/a</v>
      </c>
      <c r="O363" s="69" t="str">
        <f>IF(A25stdlife="n/a","n/a",IF(O$3&gt;(A25stdlife+$F363),(Input!$M$167*(1+vanilla6)^0.5)-SUM($M363:N363),(Input!$M$167*(1+vanilla6)^0.5)/A25stdlife))</f>
        <v>n/a</v>
      </c>
      <c r="P363" s="69" t="str">
        <f>IF(A25stdlife="n/a","n/a",IF(P$3&gt;(A25stdlife+$F363),(Input!$M$167*(1+vanilla6)^0.5)-SUM($M363:O363),(Input!$M$167*(1+vanilla6)^0.5)/A25stdlife))</f>
        <v>n/a</v>
      </c>
      <c r="Q363" s="69" t="str">
        <f>IF(A25stdlife="n/a","n/a",IF(Q$3&gt;(A25stdlife+$F363),(Input!$M$167*(1+vanilla6)^0.5)-SUM($M363:P363),(Input!$M$167*(1+vanilla6)^0.5)/A25stdlife))</f>
        <v>n/a</v>
      </c>
      <c r="R363" s="69"/>
      <c r="S363" s="104"/>
      <c r="T363" s="104"/>
      <c r="U363" s="104"/>
      <c r="V363" s="104"/>
      <c r="W363" s="104"/>
      <c r="X363" s="104"/>
      <c r="Y363" s="104"/>
      <c r="Z363" s="104"/>
      <c r="AA363" s="104"/>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537"/>
      <c r="F364" s="87">
        <v>7</v>
      </c>
      <c r="G364" s="27"/>
      <c r="H364" s="149"/>
      <c r="I364" s="151"/>
      <c r="J364" s="151"/>
      <c r="K364" s="151"/>
      <c r="L364" s="151"/>
      <c r="M364" s="151"/>
      <c r="N364" s="150"/>
      <c r="O364" s="69" t="str">
        <f>IF(A25stdlife="n/a","n/a",IF(O$3&gt;(A25stdlife+$F364),(Input!N$167*(1+vanilla7)^0.5)-SUM($N364:N364),(Input!$N$167*(1+vanilla7)^0.5)/A25stdlife))</f>
        <v>n/a</v>
      </c>
      <c r="P364" s="69" t="str">
        <f>IF(A25stdlife="n/a","n/a",IF(P$3&gt;(A25stdlife+$F364),(Input!O$167*(1+vanilla7)^0.5)-SUM($N364:O364),(Input!$N$167*(1+vanilla7)^0.5)/A25stdlife))</f>
        <v>n/a</v>
      </c>
      <c r="Q364" s="69" t="str">
        <f>IF(A25stdlife="n/a","n/a",IF(Q$3&gt;(A25stdlife+$F364),(Input!P$167*(1+vanilla7)^0.5)-SUM($N364:P364),(Input!$N$167*(1+vanilla7)^0.5)/A25stdlife))</f>
        <v>n/a</v>
      </c>
      <c r="R364" s="69"/>
      <c r="S364" s="104"/>
      <c r="T364" s="104"/>
      <c r="U364" s="104"/>
      <c r="V364" s="104"/>
      <c r="W364" s="104"/>
      <c r="X364" s="104"/>
      <c r="Y364" s="104"/>
      <c r="Z364" s="104"/>
      <c r="AA364" s="104"/>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537"/>
      <c r="F365" s="87">
        <v>8</v>
      </c>
      <c r="G365" s="27"/>
      <c r="H365" s="149"/>
      <c r="I365" s="151"/>
      <c r="J365" s="151"/>
      <c r="K365" s="151"/>
      <c r="L365" s="151"/>
      <c r="M365" s="151"/>
      <c r="N365" s="151"/>
      <c r="O365" s="150"/>
      <c r="P365" s="69" t="str">
        <f>IF(A25stdlife="n/a","n/a",IF(P$3&gt;(A25stdlife+$F365),(Input!$O$167*(1+vanilla8)^0.5)-SUM($O365:O365),(Input!$O$167*(1+vanilla8)^0.5)/A25stdlife))</f>
        <v>n/a</v>
      </c>
      <c r="Q365" s="69" t="str">
        <f>IF(A25stdlife="n/a","n/a",IF(Q$3&gt;(A25stdlife+$F365),(Input!$O$167*(1+vanilla8)^0.5)-SUM($O365:P365),(Input!$O$167*(1+vanilla8)^0.5)/A25stdlife))</f>
        <v>n/a</v>
      </c>
      <c r="R365" s="69"/>
      <c r="S365" s="104"/>
      <c r="T365" s="104"/>
      <c r="U365" s="104"/>
      <c r="V365" s="104"/>
      <c r="W365" s="104"/>
      <c r="X365" s="104"/>
      <c r="Y365" s="104"/>
      <c r="Z365" s="104"/>
      <c r="AA365" s="104"/>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537"/>
      <c r="F366" s="87">
        <v>9</v>
      </c>
      <c r="G366" s="27"/>
      <c r="H366" s="149"/>
      <c r="I366" s="151"/>
      <c r="J366" s="151"/>
      <c r="K366" s="151"/>
      <c r="L366" s="151"/>
      <c r="M366" s="151"/>
      <c r="N366" s="151"/>
      <c r="O366" s="151"/>
      <c r="P366" s="150"/>
      <c r="Q366" s="69" t="str">
        <f>IF(A25stdlife="n/a","n/a",IF(Q$3&gt;(A25stdlife+$F366),(Input!$P$167*(1+vanilla9)^0.5)-SUM($P366:P366),(Input!$P$167*(1+vanilla9)^0.5)/A25stdlife))</f>
        <v>n/a</v>
      </c>
      <c r="R366" s="69"/>
      <c r="S366" s="104"/>
      <c r="T366" s="104"/>
      <c r="U366" s="104"/>
      <c r="V366" s="104"/>
      <c r="W366" s="104"/>
      <c r="X366" s="104"/>
      <c r="Y366" s="104"/>
      <c r="Z366" s="104"/>
      <c r="AA366" s="104"/>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537"/>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8"/>
      <c r="H369" s="68" t="str">
        <f>IF(H$3&gt;A26remlife,A26value-SUM($G369:G369),IF(A26remlife="N/A","n/a",A26value/A26remlife))</f>
        <v>n/a</v>
      </c>
      <c r="I369" s="68" t="str">
        <f>IF(I$3&gt;A26remlife,A26value-SUM($G369:H369),IF(A26remlife="N/A","n/a",A26value/A26remlife))</f>
        <v>n/a</v>
      </c>
      <c r="J369" s="68" t="str">
        <f>IF(J$3&gt;A26remlife,A26value-SUM($G369:I369),IF(A26remlife="N/A","n/a",A26value/A26remlife))</f>
        <v>n/a</v>
      </c>
      <c r="K369" s="68" t="str">
        <f>IF(K$3&gt;A26remlife,A26value-SUM($G369:J369),IF(A26remlife="N/A","n/a",A26value/A26remlife))</f>
        <v>n/a</v>
      </c>
      <c r="L369" s="68" t="str">
        <f>IF(L$3&gt;A26remlife,A26value-SUM($G369:K369),IF(A26remlife="N/A","n/a",A26value/A26remlife))</f>
        <v>n/a</v>
      </c>
      <c r="M369" s="68" t="str">
        <f>IF(M$3&gt;A26remlife,A26value-SUM($G369:L369),IF(A26remlife="N/A","n/a",A26value/A26remlife))</f>
        <v>n/a</v>
      </c>
      <c r="N369" s="68" t="str">
        <f>IF(N$3&gt;A26remlife,A26value-SUM($G369:M369),IF(A26remlife="N/A","n/a",A26value/A26remlife))</f>
        <v>n/a</v>
      </c>
      <c r="O369" s="68" t="str">
        <f>IF(O$3&gt;A26remlife,A26value-SUM($G369:N369),IF(A26remlife="N/A","n/a",A26value/A26remlife))</f>
        <v>n/a</v>
      </c>
      <c r="P369" s="68" t="str">
        <f>IF(P$3&gt;A26remlife,A26value-SUM($G369:O369),IF(A26remlife="N/A","n/a",A26value/A26remlife))</f>
        <v>n/a</v>
      </c>
      <c r="Q369" s="68" t="str">
        <f>IF(Q$3&gt;A26remlife,A26value-SUM($G369:P369),IF(A26remlife="N/A","n/a",A26value/A26remlife))</f>
        <v>n/a</v>
      </c>
      <c r="R369" s="68"/>
      <c r="S369" s="104"/>
      <c r="T369" s="104"/>
      <c r="U369" s="104"/>
      <c r="V369" s="104"/>
      <c r="W369" s="104"/>
      <c r="X369" s="104"/>
      <c r="Y369" s="104"/>
      <c r="Z369" s="104"/>
      <c r="AA369" s="104"/>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36" t="s">
        <v>86</v>
      </c>
      <c r="F370" s="87">
        <v>0</v>
      </c>
      <c r="G370" s="124"/>
      <c r="H370" s="69"/>
      <c r="I370" s="69"/>
      <c r="J370" s="69"/>
      <c r="K370" s="69"/>
      <c r="L370" s="69"/>
      <c r="M370" s="166"/>
      <c r="N370" s="113"/>
      <c r="O370" s="69"/>
      <c r="P370" s="69"/>
      <c r="Q370" s="69"/>
      <c r="R370" s="69"/>
      <c r="S370" s="104"/>
      <c r="T370" s="104"/>
      <c r="U370" s="104"/>
      <c r="V370" s="104"/>
      <c r="W370" s="104"/>
      <c r="X370" s="104"/>
      <c r="Y370" s="104"/>
      <c r="Z370" s="104"/>
      <c r="AA370" s="104"/>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537"/>
      <c r="F371" s="87">
        <v>1</v>
      </c>
      <c r="G371" s="124"/>
      <c r="H371" s="148"/>
      <c r="I371" s="69" t="str">
        <f>IF(A26stdlife="n/a","n/a",IF(I$3&gt;(A26stdlife+$F371),(Input!$H$168*(1+vanilla1)^0.5)-SUM($H371:H371),(Input!$H$168*(1+vanilla1)^0.5)/A26stdlife))</f>
        <v>n/a</v>
      </c>
      <c r="J371" s="69" t="str">
        <f>IF(A26stdlife="n/a","n/a",IF(J$3&gt;(A26stdlife+$F371),(Input!$H$168*(1+vanilla1)^0.5)-SUM($H371:I371),(Input!$H$168*(1+vanilla1)^0.5)/A26stdlife))</f>
        <v>n/a</v>
      </c>
      <c r="K371" s="69" t="str">
        <f>IF(A26stdlife="n/a","n/a",IF(K$3&gt;(A26stdlife+$F371),(Input!$H$168*(1+vanilla1)^0.5)-SUM($H371:J371),(Input!$H$168*(1+vanilla1)^0.5)/A26stdlife))</f>
        <v>n/a</v>
      </c>
      <c r="L371" s="69" t="str">
        <f>IF(A26stdlife="n/a","n/a",IF(L$3&gt;(A26stdlife+$F371),(Input!$H$168*(1+vanilla1)^0.5)-SUM($H371:K371),(Input!$H$168*(1+vanilla1)^0.5)/A26stdlife))</f>
        <v>n/a</v>
      </c>
      <c r="M371" s="69" t="str">
        <f>IF(A26stdlife="n/a","n/a",IF(M$3&gt;(A26stdlife+$F371),(Input!$H$168*(1+vanilla1)^0.5)-SUM($H371:L371),(Input!$H$168*(1+vanilla1)^0.5)/A26stdlife))</f>
        <v>n/a</v>
      </c>
      <c r="N371" s="69" t="str">
        <f>IF(A26stdlife="n/a","n/a",IF(N$3&gt;(A26stdlife+$F371),(Input!$H$168*(1+vanilla1)^0.5)-SUM($H371:M371),(Input!$H$168*(1+vanilla1)^0.5)/A26stdlife))</f>
        <v>n/a</v>
      </c>
      <c r="O371" s="69" t="str">
        <f>IF(A26stdlife="n/a","n/a",IF(O$3&gt;(A26stdlife+$F371),(Input!$H$168*(1+vanilla1)^0.5)-SUM($H371:N371),(Input!$H$168*(1+vanilla1)^0.5)/A26stdlife))</f>
        <v>n/a</v>
      </c>
      <c r="P371" s="69" t="str">
        <f>IF(A26stdlife="n/a","n/a",IF(P$3&gt;(A26stdlife+$F371),(Input!$H$168*(1+vanilla1)^0.5)-SUM($H371:O371),(Input!$H$168*(1+vanilla1)^0.5)/A26stdlife))</f>
        <v>n/a</v>
      </c>
      <c r="Q371" s="69" t="str">
        <f>IF(A26stdlife="n/a","n/a",IF(Q$3&gt;(A26stdlife+$F371),(Input!$H$168*(1+vanilla1)^0.5)-SUM($H371:P371),(Input!$H$168*(1+vanilla1)^0.5)/A26stdlife))</f>
        <v>n/a</v>
      </c>
      <c r="R371" s="69"/>
      <c r="S371" s="104"/>
      <c r="T371" s="104"/>
      <c r="U371" s="104"/>
      <c r="V371" s="104"/>
      <c r="W371" s="104"/>
      <c r="X371" s="104"/>
      <c r="Y371" s="104"/>
      <c r="Z371" s="104"/>
      <c r="AA371" s="104"/>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537"/>
      <c r="F372" s="87">
        <v>2</v>
      </c>
      <c r="G372" s="124"/>
      <c r="H372" s="149"/>
      <c r="I372" s="150"/>
      <c r="J372" s="69" t="str">
        <f>IF(A26stdlife="n/a","n/a",IF(J$3&gt;(A26stdlife+$F372),(Input!$I$168*(1+vanilla2)^0.5)-SUM($I372:I372),(Input!$I$168*(1+vanilla2)^0.5)/A26stdlife))</f>
        <v>n/a</v>
      </c>
      <c r="K372" s="69" t="str">
        <f>IF(A26stdlife="n/a","n/a",IF(K$3&gt;(A26stdlife+$F372),(Input!$I$168*(1+vanilla2)^0.5)-SUM($I372:J372),(Input!$I$168*(1+vanilla2)^0.5)/A26stdlife))</f>
        <v>n/a</v>
      </c>
      <c r="L372" s="69" t="str">
        <f>IF(A26stdlife="n/a","n/a",IF(L$3&gt;(A26stdlife+$F372),(Input!$I$168*(1+vanilla2)^0.5)-SUM($I372:K372),(Input!$I$168*(1+vanilla2)^0.5)/A26stdlife))</f>
        <v>n/a</v>
      </c>
      <c r="M372" s="69" t="str">
        <f>IF(A26stdlife="n/a","n/a",IF(M$3&gt;(A26stdlife+$F372),(Input!$I$168*(1+vanilla2)^0.5)-SUM($I372:L372),(Input!$I$168*(1+vanilla2)^0.5)/A26stdlife))</f>
        <v>n/a</v>
      </c>
      <c r="N372" s="69" t="str">
        <f>IF(A26stdlife="n/a","n/a",IF(N$3&gt;(A26stdlife+$F372),(Input!$I$168*(1+vanilla2)^0.5)-SUM($I372:M372),(Input!$I$168*(1+vanilla2)^0.5)/A26stdlife))</f>
        <v>n/a</v>
      </c>
      <c r="O372" s="69" t="str">
        <f>IF(A26stdlife="n/a","n/a",IF(O$3&gt;(A26stdlife+$F372),(Input!$I$168*(1+vanilla2)^0.5)-SUM($I372:N372),(Input!$I$168*(1+vanilla2)^0.5)/A26stdlife))</f>
        <v>n/a</v>
      </c>
      <c r="P372" s="69" t="str">
        <f>IF(A26stdlife="n/a","n/a",IF(P$3&gt;(A26stdlife+$F372),(Input!$I$168*(1+vanilla2)^0.5)-SUM($I372:O372),(Input!$I$168*(1+vanilla2)^0.5)/A26stdlife))</f>
        <v>n/a</v>
      </c>
      <c r="Q372" s="69" t="str">
        <f>IF(A26stdlife="n/a","n/a",IF(Q$3&gt;(A26stdlife+$F372),(Input!$I$168*(1+vanilla2)^0.5)-SUM($I372:P372),(Input!$I$168*(1+vanilla2)^0.5)/A26stdlife))</f>
        <v>n/a</v>
      </c>
      <c r="R372" s="69"/>
      <c r="S372" s="104"/>
      <c r="T372" s="104"/>
      <c r="U372" s="104"/>
      <c r="V372" s="104"/>
      <c r="W372" s="104"/>
      <c r="X372" s="104"/>
      <c r="Y372" s="104"/>
      <c r="Z372" s="104"/>
      <c r="AA372" s="104"/>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537"/>
      <c r="F373" s="87">
        <v>3</v>
      </c>
      <c r="G373" s="124"/>
      <c r="H373" s="149"/>
      <c r="I373" s="151"/>
      <c r="J373" s="150"/>
      <c r="K373" s="69" t="str">
        <f>IF(A26stdlife="n/a","n/a",IF(K$3&gt;(A26stdlife+$F373),(Input!$J$168*(1+vanilla3)^0.5)-SUM($J373:J373),(Input!$J$168*(1+vanilla3)^0.5)/A26stdlife))</f>
        <v>n/a</v>
      </c>
      <c r="L373" s="69" t="str">
        <f>IF(A26stdlife="n/a","n/a",IF(L$3&gt;(A26stdlife+$F373),(Input!$J$168*(1+vanilla3)^0.5)-SUM($J373:K373),(Input!$J$168*(1+vanilla3)^0.5)/A26stdlife))</f>
        <v>n/a</v>
      </c>
      <c r="M373" s="69" t="str">
        <f>IF(A26stdlife="n/a","n/a",IF(M$3&gt;(A26stdlife+$F373),(Input!$J$168*(1+vanilla3)^0.5)-SUM($J373:L373),(Input!$J$168*(1+vanilla3)^0.5)/A26stdlife))</f>
        <v>n/a</v>
      </c>
      <c r="N373" s="69" t="str">
        <f>IF(A26stdlife="n/a","n/a",IF(N$3&gt;(A26stdlife+$F373),(Input!$J$168*(1+vanilla3)^0.5)-SUM($J373:M373),(Input!$J$168*(1+vanilla3)^0.5)/A26stdlife))</f>
        <v>n/a</v>
      </c>
      <c r="O373" s="69" t="str">
        <f>IF(A26stdlife="n/a","n/a",IF(O$3&gt;(A26stdlife+$F373),(Input!$J$168*(1+vanilla3)^0.5)-SUM($J373:N373),(Input!$J$168*(1+vanilla3)^0.5)/A26stdlife))</f>
        <v>n/a</v>
      </c>
      <c r="P373" s="69" t="str">
        <f>IF(A26stdlife="n/a","n/a",IF(P$3&gt;(A26stdlife+$F373),(Input!$J$168*(1+vanilla3)^0.5)-SUM($J373:O373),(Input!$J$168*(1+vanilla3)^0.5)/A26stdlife))</f>
        <v>n/a</v>
      </c>
      <c r="Q373" s="69" t="str">
        <f>IF(A26stdlife="n/a","n/a",IF(Q$3&gt;(A26stdlife+$F373),(Input!$J$168*(1+vanilla3)^0.5)-SUM($J373:P373),(Input!$J$168*(1+vanilla3)^0.5)/A26stdlife))</f>
        <v>n/a</v>
      </c>
      <c r="R373" s="69"/>
      <c r="S373" s="104"/>
      <c r="T373" s="104"/>
      <c r="U373" s="104"/>
      <c r="V373" s="104"/>
      <c r="W373" s="104"/>
      <c r="X373" s="104"/>
      <c r="Y373" s="104"/>
      <c r="Z373" s="104"/>
      <c r="AA373" s="104"/>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537"/>
      <c r="F374" s="87">
        <v>4</v>
      </c>
      <c r="G374" s="124"/>
      <c r="H374" s="149"/>
      <c r="I374" s="151"/>
      <c r="J374" s="151"/>
      <c r="K374" s="150"/>
      <c r="L374" s="69" t="str">
        <f>IF(A26stdlife="n/a","n/a",IF(L$3&gt;(A26stdlife+$F374),(Input!$K$168*(1+vanilla4)^0.5)-SUM($K374:K374),(Input!$K$168*(1+vanilla4)^0.5)/A26stdlife))</f>
        <v>n/a</v>
      </c>
      <c r="M374" s="69" t="str">
        <f>IF(A26stdlife="n/a","n/a",IF(M$3&gt;(A26stdlife+$F374),(Input!$K$168*(1+vanilla4)^0.5)-SUM($K374:L374),(Input!$K$168*(1+vanilla4)^0.5)/A26stdlife))</f>
        <v>n/a</v>
      </c>
      <c r="N374" s="69" t="str">
        <f>IF(A26stdlife="n/a","n/a",IF(N$3&gt;(A26stdlife+$F374),(Input!$K$168*(1+vanilla4)^0.5)-SUM($K374:M374),(Input!$K$168*(1+vanilla4)^0.5)/A26stdlife))</f>
        <v>n/a</v>
      </c>
      <c r="O374" s="69" t="str">
        <f>IF(A26stdlife="n/a","n/a",IF(O$3&gt;(A26stdlife+$F374),(Input!$K$168*(1+vanilla4)^0.5)-SUM($K374:N374),(Input!$K$168*(1+vanilla4)^0.5)/A26stdlife))</f>
        <v>n/a</v>
      </c>
      <c r="P374" s="69" t="str">
        <f>IF(A26stdlife="n/a","n/a",IF(P$3&gt;(A26stdlife+$F374),(Input!$K$168*(1+vanilla4)^0.5)-SUM($K374:O374),(Input!$K$168*(1+vanilla4)^0.5)/A26stdlife))</f>
        <v>n/a</v>
      </c>
      <c r="Q374" s="69" t="str">
        <f>IF(A26stdlife="n/a","n/a",IF(Q$3&gt;(A26stdlife+$F374),(Input!$K$168*(1+vanilla4)^0.5)-SUM($K374:P374),(Input!$K$168*(1+vanilla4)^0.5)/A26stdlife))</f>
        <v>n/a</v>
      </c>
      <c r="R374" s="69"/>
      <c r="S374" s="104"/>
      <c r="T374" s="104"/>
      <c r="U374" s="104"/>
      <c r="V374" s="104"/>
      <c r="W374" s="104"/>
      <c r="X374" s="104"/>
      <c r="Y374" s="104"/>
      <c r="Z374" s="104"/>
      <c r="AA374" s="104"/>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537"/>
      <c r="F375" s="87">
        <v>5</v>
      </c>
      <c r="G375" s="27"/>
      <c r="H375" s="149"/>
      <c r="I375" s="151"/>
      <c r="J375" s="151"/>
      <c r="K375" s="151"/>
      <c r="L375" s="150"/>
      <c r="M375" s="69" t="str">
        <f>IF(A26stdlife="n/a","n/a",IF(M$3&gt;(A26stdlife+$F375),(Input!$L$168*(1+vanilla5)^0.5)-SUM($L375:L375),(Input!$L$168*(1+vanilla5)^0.5)/A26stdlife))</f>
        <v>n/a</v>
      </c>
      <c r="N375" s="69" t="str">
        <f>IF(A26stdlife="n/a","n/a",IF(N$3&gt;(A26stdlife+$F375),(Input!$L$168*(1+vanilla5)^0.5)-SUM($L375:M375),(Input!$L$168*(1+vanilla5)^0.5)/A26stdlife))</f>
        <v>n/a</v>
      </c>
      <c r="O375" s="69" t="str">
        <f>IF(A26stdlife="n/a","n/a",IF(O$3&gt;(A26stdlife+$F375),(Input!$L$168*(1+vanilla5)^0.5)-SUM($L375:N375),(Input!$L$168*(1+vanilla5)^0.5)/A26stdlife))</f>
        <v>n/a</v>
      </c>
      <c r="P375" s="69" t="str">
        <f>IF(A26stdlife="n/a","n/a",IF(P$3&gt;(A26stdlife+$F375),(Input!$L$168*(1+vanilla5)^0.5)-SUM($L375:O375),(Input!$L$168*(1+vanilla5)^0.5)/A26stdlife))</f>
        <v>n/a</v>
      </c>
      <c r="Q375" s="69" t="str">
        <f>IF(A26stdlife="n/a","n/a",IF(Q$3&gt;(A26stdlife+$F375),(Input!$L$168*(1+vanilla5)^0.5)-SUM($L375:P375),(Input!$L$168*(1+vanilla5)^0.5)/A26stdlife))</f>
        <v>n/a</v>
      </c>
      <c r="R375" s="69"/>
      <c r="S375" s="104"/>
      <c r="T375" s="104"/>
      <c r="U375" s="104"/>
      <c r="V375" s="104"/>
      <c r="W375" s="104"/>
      <c r="X375" s="104"/>
      <c r="Y375" s="104"/>
      <c r="Z375" s="104"/>
      <c r="AA375" s="104"/>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537"/>
      <c r="F376" s="87">
        <v>6</v>
      </c>
      <c r="G376" s="27"/>
      <c r="H376" s="149"/>
      <c r="I376" s="151"/>
      <c r="J376" s="151"/>
      <c r="K376" s="151"/>
      <c r="L376" s="151"/>
      <c r="M376" s="150"/>
      <c r="N376" s="69" t="str">
        <f>IF(A26stdlife="n/a","n/a",IF(N$3&gt;(A26stdlife+$F376),(Input!$M$168*(1+vanilla6)^0.5)-SUM($M376:M376),(Input!$M$168*(1+vanilla6)^0.5)/A26stdlife))</f>
        <v>n/a</v>
      </c>
      <c r="O376" s="69" t="str">
        <f>IF(A26stdlife="n/a","n/a",IF(O$3&gt;(A26stdlife+$F376),(Input!$M$168*(1+vanilla6)^0.5)-SUM($M376:N376),(Input!$M$168*(1+vanilla6)^0.5)/A26stdlife))</f>
        <v>n/a</v>
      </c>
      <c r="P376" s="69" t="str">
        <f>IF(A26stdlife="n/a","n/a",IF(P$3&gt;(A26stdlife+$F376),(Input!$M$168*(1+vanilla6)^0.5)-SUM($M376:O376),(Input!$M$168*(1+vanilla6)^0.5)/A26stdlife))</f>
        <v>n/a</v>
      </c>
      <c r="Q376" s="69" t="str">
        <f>IF(A26stdlife="n/a","n/a",IF(Q$3&gt;(A26stdlife+$F376),(Input!$M$168*(1+vanilla6)^0.5)-SUM($M376:P376),(Input!$M$168*(1+vanilla6)^0.5)/A26stdlife))</f>
        <v>n/a</v>
      </c>
      <c r="R376" s="69"/>
      <c r="S376" s="104"/>
      <c r="T376" s="104"/>
      <c r="U376" s="104"/>
      <c r="V376" s="104"/>
      <c r="W376" s="104"/>
      <c r="X376" s="104"/>
      <c r="Y376" s="104"/>
      <c r="Z376" s="104"/>
      <c r="AA376" s="104"/>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37"/>
      <c r="F377" s="87">
        <v>7</v>
      </c>
      <c r="G377" s="27"/>
      <c r="H377" s="149"/>
      <c r="I377" s="151"/>
      <c r="J377" s="151"/>
      <c r="K377" s="151"/>
      <c r="L377" s="151"/>
      <c r="M377" s="151"/>
      <c r="N377" s="150"/>
      <c r="O377" s="69" t="str">
        <f>IF(A26stdlife="n/a","n/a",IF(O$3&gt;(A26stdlife+$F377),(Input!N$168*(1+vanilla7)^0.5)-SUM($N377:N377),(Input!$N$168*(1+vanilla7)^0.5)/A26stdlife))</f>
        <v>n/a</v>
      </c>
      <c r="P377" s="69" t="str">
        <f>IF(A26stdlife="n/a","n/a",IF(P$3&gt;(A26stdlife+$F377),(Input!O$168*(1+vanilla7)^0.5)-SUM($N377:O377),(Input!$N$168*(1+vanilla7)^0.5)/A26stdlife))</f>
        <v>n/a</v>
      </c>
      <c r="Q377" s="69" t="str">
        <f>IF(A26stdlife="n/a","n/a",IF(Q$3&gt;(A26stdlife+$F377),(Input!P$168*(1+vanilla7)^0.5)-SUM($N377:P377),(Input!$N$168*(1+vanilla7)^0.5)/A26stdlife))</f>
        <v>n/a</v>
      </c>
      <c r="R377" s="69"/>
      <c r="S377" s="104"/>
      <c r="T377" s="104"/>
      <c r="U377" s="104"/>
      <c r="V377" s="104"/>
      <c r="W377" s="104"/>
      <c r="X377" s="104"/>
      <c r="Y377" s="104"/>
      <c r="Z377" s="104"/>
      <c r="AA377" s="104"/>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37"/>
      <c r="F378" s="87">
        <v>8</v>
      </c>
      <c r="G378" s="27"/>
      <c r="H378" s="149"/>
      <c r="I378" s="151"/>
      <c r="J378" s="151"/>
      <c r="K378" s="151"/>
      <c r="L378" s="151"/>
      <c r="M378" s="151"/>
      <c r="N378" s="151"/>
      <c r="O378" s="150"/>
      <c r="P378" s="69" t="str">
        <f>IF(A26stdlife="n/a","n/a",IF(P$3&gt;(A26stdlife+$F378),(Input!$O$168*(1+vanilla8)^0.5)-SUM($O378:O378),(Input!$O$168*(1+vanilla8)^0.5)/A26stdlife))</f>
        <v>n/a</v>
      </c>
      <c r="Q378" s="69" t="str">
        <f>IF(A26stdlife="n/a","n/a",IF(Q$3&gt;(A26stdlife+$F378),(Input!$O$168*(1+vanilla8)^0.5)-SUM($O378:P378),(Input!$O$168*(1+vanilla8)^0.5)/A26stdlife))</f>
        <v>n/a</v>
      </c>
      <c r="R378" s="69"/>
      <c r="S378" s="104"/>
      <c r="T378" s="104"/>
      <c r="U378" s="104"/>
      <c r="V378" s="104"/>
      <c r="W378" s="104"/>
      <c r="X378" s="104"/>
      <c r="Y378" s="104"/>
      <c r="Z378" s="104"/>
      <c r="AA378" s="104"/>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37"/>
      <c r="F379" s="87">
        <v>9</v>
      </c>
      <c r="G379" s="27"/>
      <c r="H379" s="149"/>
      <c r="I379" s="151"/>
      <c r="J379" s="151"/>
      <c r="K379" s="151"/>
      <c r="L379" s="151"/>
      <c r="M379" s="151"/>
      <c r="N379" s="151"/>
      <c r="O379" s="151"/>
      <c r="P379" s="150"/>
      <c r="Q379" s="69" t="str">
        <f>IF(A26stdlife="n/a","n/a",IF(Q$3&gt;(A26stdlife+$F379),(Input!$P$168*(1+vanilla9)^0.5)-SUM($P379:P379),(Input!$P$168*(1+vanilla9)^0.5)/A26stdlife))</f>
        <v>n/a</v>
      </c>
      <c r="R379" s="69"/>
      <c r="S379" s="104"/>
      <c r="T379" s="104"/>
      <c r="U379" s="104"/>
      <c r="V379" s="104"/>
      <c r="W379" s="104"/>
      <c r="X379" s="104"/>
      <c r="Y379" s="104"/>
      <c r="Z379" s="104"/>
      <c r="AA379" s="104"/>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37"/>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8"/>
      <c r="H382" s="68" t="str">
        <f>IF(H$3&gt;A27remlife,A27value-SUM($G382:G382),IF(A27remlife="N/A","n/a",A27value/A27remlife))</f>
        <v>n/a</v>
      </c>
      <c r="I382" s="68" t="str">
        <f>IF(I$3&gt;A27remlife,A27value-SUM($G382:H382),IF(A27remlife="N/A","n/a",A27value/A27remlife))</f>
        <v>n/a</v>
      </c>
      <c r="J382" s="68" t="str">
        <f>IF(J$3&gt;A27remlife,A27value-SUM($G382:I382),IF(A27remlife="N/A","n/a",A27value/A27remlife))</f>
        <v>n/a</v>
      </c>
      <c r="K382" s="68" t="str">
        <f>IF(K$3&gt;A27remlife,A27value-SUM($G382:J382),IF(A27remlife="N/A","n/a",A27value/A27remlife))</f>
        <v>n/a</v>
      </c>
      <c r="L382" s="68" t="str">
        <f>IF(L$3&gt;A27remlife,A27value-SUM($G382:K382),IF(A27remlife="N/A","n/a",A27value/A27remlife))</f>
        <v>n/a</v>
      </c>
      <c r="M382" s="68" t="str">
        <f>IF(M$3&gt;A27remlife,A27value-SUM($G382:L382),IF(A27remlife="N/A","n/a",A27value/A27remlife))</f>
        <v>n/a</v>
      </c>
      <c r="N382" s="68" t="str">
        <f>IF(N$3&gt;A27remlife,A27value-SUM($G382:M382),IF(A27remlife="N/A","n/a",A27value/A27remlife))</f>
        <v>n/a</v>
      </c>
      <c r="O382" s="68" t="str">
        <f>IF(O$3&gt;A27remlife,A27value-SUM($G382:N382),IF(A27remlife="N/A","n/a",A27value/A27remlife))</f>
        <v>n/a</v>
      </c>
      <c r="P382" s="68" t="str">
        <f>IF(P$3&gt;A27remlife,A27value-SUM($G382:O382),IF(A27remlife="N/A","n/a",A27value/A27remlife))</f>
        <v>n/a</v>
      </c>
      <c r="Q382" s="68" t="str">
        <f>IF(Q$3&gt;A27remlife,A27value-SUM($G382:P382),IF(A27remlife="N/A","n/a",A27value/A27remlife))</f>
        <v>n/a</v>
      </c>
      <c r="R382" s="68"/>
      <c r="S382" s="104"/>
      <c r="T382" s="104"/>
      <c r="U382" s="104"/>
      <c r="V382" s="104"/>
      <c r="W382" s="104"/>
      <c r="X382" s="104"/>
      <c r="Y382" s="104"/>
      <c r="Z382" s="104"/>
      <c r="AA382" s="104"/>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536" t="s">
        <v>86</v>
      </c>
      <c r="F383" s="87">
        <v>0</v>
      </c>
      <c r="G383" s="124"/>
      <c r="H383" s="69"/>
      <c r="I383" s="69"/>
      <c r="J383" s="69"/>
      <c r="K383" s="69"/>
      <c r="L383" s="69"/>
      <c r="M383" s="166"/>
      <c r="N383" s="113"/>
      <c r="O383" s="69"/>
      <c r="P383" s="69"/>
      <c r="Q383" s="69"/>
      <c r="R383" s="69"/>
      <c r="S383" s="104"/>
      <c r="T383" s="104"/>
      <c r="U383" s="104"/>
      <c r="V383" s="104"/>
      <c r="W383" s="104"/>
      <c r="X383" s="104"/>
      <c r="Y383" s="104"/>
      <c r="Z383" s="104"/>
      <c r="AA383" s="104"/>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37"/>
      <c r="F384" s="87">
        <v>1</v>
      </c>
      <c r="G384" s="124"/>
      <c r="H384" s="148"/>
      <c r="I384" s="69" t="str">
        <f>IF(A27stdlife="n/a","n/a",IF(I$3&gt;(A27stdlife+$F384),(Input!$H$169*(1+vanilla1)^0.5)-SUM($H384:H384),(Input!$H$169*(1+vanilla1)^0.5)/A27stdlife))</f>
        <v>n/a</v>
      </c>
      <c r="J384" s="69" t="str">
        <f>IF(A27stdlife="n/a","n/a",IF(J$3&gt;(A27stdlife+$F384),(Input!$H$169*(1+vanilla1)^0.5)-SUM($H384:I384),(Input!$H$169*(1+vanilla1)^0.5)/A27stdlife))</f>
        <v>n/a</v>
      </c>
      <c r="K384" s="69" t="str">
        <f>IF(A27stdlife="n/a","n/a",IF(K$3&gt;(A27stdlife+$F384),(Input!$H$169*(1+vanilla1)^0.5)-SUM($H384:J384),(Input!$H$169*(1+vanilla1)^0.5)/A27stdlife))</f>
        <v>n/a</v>
      </c>
      <c r="L384" s="69" t="str">
        <f>IF(A27stdlife="n/a","n/a",IF(L$3&gt;(A27stdlife+$F384),(Input!$H$169*(1+vanilla1)^0.5)-SUM($H384:K384),(Input!$H$169*(1+vanilla1)^0.5)/A27stdlife))</f>
        <v>n/a</v>
      </c>
      <c r="M384" s="69" t="str">
        <f>IF(A27stdlife="n/a","n/a",IF(M$3&gt;(A27stdlife+$F384),(Input!$H$169*(1+vanilla1)^0.5)-SUM($H384:L384),(Input!$H$169*(1+vanilla1)^0.5)/A27stdlife))</f>
        <v>n/a</v>
      </c>
      <c r="N384" s="69" t="str">
        <f>IF(A27stdlife="n/a","n/a",IF(N$3&gt;(A27stdlife+$F384),(Input!$H$169*(1+vanilla1)^0.5)-SUM($H384:M384),(Input!$H$169*(1+vanilla1)^0.5)/A27stdlife))</f>
        <v>n/a</v>
      </c>
      <c r="O384" s="69" t="str">
        <f>IF(A27stdlife="n/a","n/a",IF(O$3&gt;(A27stdlife+$F384),(Input!$H$169*(1+vanilla1)^0.5)-SUM($H384:N384),(Input!$H$169*(1+vanilla1)^0.5)/A27stdlife))</f>
        <v>n/a</v>
      </c>
      <c r="P384" s="69" t="str">
        <f>IF(A27stdlife="n/a","n/a",IF(P$3&gt;(A27stdlife+$F384),(Input!$H$169*(1+vanilla1)^0.5)-SUM($H384:O384),(Input!$H$169*(1+vanilla1)^0.5)/A27stdlife))</f>
        <v>n/a</v>
      </c>
      <c r="Q384" s="69" t="str">
        <f>IF(A27stdlife="n/a","n/a",IF(Q$3&gt;(A27stdlife+$F384),(Input!$H$169*(1+vanilla1)^0.5)-SUM($H384:P384),(Input!$H$169*(1+vanilla1)^0.5)/A27stdlife))</f>
        <v>n/a</v>
      </c>
      <c r="R384" s="69"/>
      <c r="S384" s="104"/>
      <c r="T384" s="104"/>
      <c r="U384" s="104"/>
      <c r="V384" s="104"/>
      <c r="W384" s="104"/>
      <c r="X384" s="104"/>
      <c r="Y384" s="104"/>
      <c r="Z384" s="104"/>
      <c r="AA384" s="104"/>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37"/>
      <c r="F385" s="87">
        <v>2</v>
      </c>
      <c r="G385" s="124"/>
      <c r="H385" s="149"/>
      <c r="I385" s="150"/>
      <c r="J385" s="69" t="str">
        <f>IF(A27stdlife="n/a","n/a",IF(J$3&gt;(A27stdlife+$F385),(Input!$I$169*(1+vanilla2)^0.5)-SUM($I385:I385),(Input!$I$169*(1+vanilla2)^0.5)/A27stdlife))</f>
        <v>n/a</v>
      </c>
      <c r="K385" s="69" t="str">
        <f>IF(A27stdlife="n/a","n/a",IF(K$3&gt;(A27stdlife+$F385),(Input!$I$169*(1+vanilla2)^0.5)-SUM($I385:J385),(Input!$I$169*(1+vanilla2)^0.5)/A27stdlife))</f>
        <v>n/a</v>
      </c>
      <c r="L385" s="69" t="str">
        <f>IF(A27stdlife="n/a","n/a",IF(L$3&gt;(A27stdlife+$F385),(Input!$I$169*(1+vanilla2)^0.5)-SUM($I385:K385),(Input!$I$169*(1+vanilla2)^0.5)/A27stdlife))</f>
        <v>n/a</v>
      </c>
      <c r="M385" s="69" t="str">
        <f>IF(A27stdlife="n/a","n/a",IF(M$3&gt;(A27stdlife+$F385),(Input!$I$169*(1+vanilla2)^0.5)-SUM($I385:L385),(Input!$I$169*(1+vanilla2)^0.5)/A27stdlife))</f>
        <v>n/a</v>
      </c>
      <c r="N385" s="69" t="str">
        <f>IF(A27stdlife="n/a","n/a",IF(N$3&gt;(A27stdlife+$F385),(Input!$I$169*(1+vanilla2)^0.5)-SUM($I385:M385),(Input!$I$169*(1+vanilla2)^0.5)/A27stdlife))</f>
        <v>n/a</v>
      </c>
      <c r="O385" s="69" t="str">
        <f>IF(A27stdlife="n/a","n/a",IF(O$3&gt;(A27stdlife+$F385),(Input!$I$169*(1+vanilla2)^0.5)-SUM($I385:N385),(Input!$I$169*(1+vanilla2)^0.5)/A27stdlife))</f>
        <v>n/a</v>
      </c>
      <c r="P385" s="69" t="str">
        <f>IF(A27stdlife="n/a","n/a",IF(P$3&gt;(A27stdlife+$F385),(Input!$I$169*(1+vanilla2)^0.5)-SUM($I385:O385),(Input!$I$169*(1+vanilla2)^0.5)/A27stdlife))</f>
        <v>n/a</v>
      </c>
      <c r="Q385" s="69" t="str">
        <f>IF(A27stdlife="n/a","n/a",IF(Q$3&gt;(A27stdlife+$F385),(Input!$I$169*(1+vanilla2)^0.5)-SUM($I385:P385),(Input!$I$169*(1+vanilla2)^0.5)/A27stdlife))</f>
        <v>n/a</v>
      </c>
      <c r="R385" s="69"/>
      <c r="S385" s="104"/>
      <c r="T385" s="104"/>
      <c r="U385" s="104"/>
      <c r="V385" s="104"/>
      <c r="W385" s="104"/>
      <c r="X385" s="104"/>
      <c r="Y385" s="104"/>
      <c r="Z385" s="104"/>
      <c r="AA385" s="104"/>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37"/>
      <c r="F386" s="87">
        <v>3</v>
      </c>
      <c r="G386" s="124"/>
      <c r="H386" s="149"/>
      <c r="I386" s="151"/>
      <c r="J386" s="150"/>
      <c r="K386" s="69" t="str">
        <f>IF(A27stdlife="n/a","n/a",IF(K$3&gt;(A27stdlife+$F386),(Input!$J$169*(1+vanilla3)^0.5)-SUM($J386:J386),(Input!$J$169*(1+vanilla3)^0.5)/A27stdlife))</f>
        <v>n/a</v>
      </c>
      <c r="L386" s="69" t="str">
        <f>IF(A27stdlife="n/a","n/a",IF(L$3&gt;(A27stdlife+$F386),(Input!$J$169*(1+vanilla3)^0.5)-SUM($J386:K386),(Input!$J$169*(1+vanilla3)^0.5)/A27stdlife))</f>
        <v>n/a</v>
      </c>
      <c r="M386" s="69" t="str">
        <f>IF(A27stdlife="n/a","n/a",IF(M$3&gt;(A27stdlife+$F386),(Input!$J$169*(1+vanilla3)^0.5)-SUM($J386:L386),(Input!$J$169*(1+vanilla3)^0.5)/A27stdlife))</f>
        <v>n/a</v>
      </c>
      <c r="N386" s="69" t="str">
        <f>IF(A27stdlife="n/a","n/a",IF(N$3&gt;(A27stdlife+$F386),(Input!$J$169*(1+vanilla3)^0.5)-SUM($J386:M386),(Input!$J$169*(1+vanilla3)^0.5)/A27stdlife))</f>
        <v>n/a</v>
      </c>
      <c r="O386" s="69" t="str">
        <f>IF(A27stdlife="n/a","n/a",IF(O$3&gt;(A27stdlife+$F386),(Input!$J$169*(1+vanilla3)^0.5)-SUM($J386:N386),(Input!$J$169*(1+vanilla3)^0.5)/A27stdlife))</f>
        <v>n/a</v>
      </c>
      <c r="P386" s="69" t="str">
        <f>IF(A27stdlife="n/a","n/a",IF(P$3&gt;(A27stdlife+$F386),(Input!$J$169*(1+vanilla3)^0.5)-SUM($J386:O386),(Input!$J$169*(1+vanilla3)^0.5)/A27stdlife))</f>
        <v>n/a</v>
      </c>
      <c r="Q386" s="69" t="str">
        <f>IF(A27stdlife="n/a","n/a",IF(Q$3&gt;(A27stdlife+$F386),(Input!$J$169*(1+vanilla3)^0.5)-SUM($J386:P386),(Input!$J$169*(1+vanilla3)^0.5)/A27stdlife))</f>
        <v>n/a</v>
      </c>
      <c r="R386" s="69"/>
      <c r="S386" s="104"/>
      <c r="T386" s="104"/>
      <c r="U386" s="104"/>
      <c r="V386" s="104"/>
      <c r="W386" s="104"/>
      <c r="X386" s="104"/>
      <c r="Y386" s="104"/>
      <c r="Z386" s="104"/>
      <c r="AA386" s="104"/>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537"/>
      <c r="F387" s="87">
        <v>4</v>
      </c>
      <c r="G387" s="124"/>
      <c r="H387" s="149"/>
      <c r="I387" s="151"/>
      <c r="J387" s="151"/>
      <c r="K387" s="150"/>
      <c r="L387" s="69" t="str">
        <f>IF(A27stdlife="n/a","n/a",IF(L$3&gt;(A27stdlife+$F387),(Input!$K$169*(1+vanilla4)^0.5)-SUM($K387:K387),(Input!$K$169*(1+vanilla4)^0.5)/A27stdlife))</f>
        <v>n/a</v>
      </c>
      <c r="M387" s="69" t="str">
        <f>IF(A27stdlife="n/a","n/a",IF(M$3&gt;(A27stdlife+$F387),(Input!$K$169*(1+vanilla4)^0.5)-SUM($K387:L387),(Input!$K$169*(1+vanilla4)^0.5)/A27stdlife))</f>
        <v>n/a</v>
      </c>
      <c r="N387" s="69" t="str">
        <f>IF(A27stdlife="n/a","n/a",IF(N$3&gt;(A27stdlife+$F387),(Input!$K$169*(1+vanilla4)^0.5)-SUM($K387:M387),(Input!$K$169*(1+vanilla4)^0.5)/A27stdlife))</f>
        <v>n/a</v>
      </c>
      <c r="O387" s="69" t="str">
        <f>IF(A27stdlife="n/a","n/a",IF(O$3&gt;(A27stdlife+$F387),(Input!$K$169*(1+vanilla4)^0.5)-SUM($K387:N387),(Input!$K$169*(1+vanilla4)^0.5)/A27stdlife))</f>
        <v>n/a</v>
      </c>
      <c r="P387" s="69" t="str">
        <f>IF(A27stdlife="n/a","n/a",IF(P$3&gt;(A27stdlife+$F387),(Input!$K$169*(1+vanilla4)^0.5)-SUM($K387:O387),(Input!$K$169*(1+vanilla4)^0.5)/A27stdlife))</f>
        <v>n/a</v>
      </c>
      <c r="Q387" s="69" t="str">
        <f>IF(A27stdlife="n/a","n/a",IF(Q$3&gt;(A27stdlife+$F387),(Input!$K$169*(1+vanilla4)^0.5)-SUM($K387:P387),(Input!$K$169*(1+vanilla4)^0.5)/A27stdlife))</f>
        <v>n/a</v>
      </c>
      <c r="R387" s="69"/>
      <c r="S387" s="104"/>
      <c r="T387" s="104"/>
      <c r="U387" s="104"/>
      <c r="V387" s="104"/>
      <c r="W387" s="104"/>
      <c r="X387" s="104"/>
      <c r="Y387" s="104"/>
      <c r="Z387" s="104"/>
      <c r="AA387" s="104"/>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537"/>
      <c r="F388" s="87">
        <v>5</v>
      </c>
      <c r="G388" s="27"/>
      <c r="H388" s="149"/>
      <c r="I388" s="151"/>
      <c r="J388" s="151"/>
      <c r="K388" s="151"/>
      <c r="L388" s="150"/>
      <c r="M388" s="69" t="str">
        <f>IF(A27stdlife="n/a","n/a",IF(M$3&gt;(A27stdlife+$F388),(Input!$L$169*(1+vanilla5)^0.5)-SUM($L388:L388),(Input!$L$169*(1+vanilla5)^0.5)/A27stdlife))</f>
        <v>n/a</v>
      </c>
      <c r="N388" s="69" t="str">
        <f>IF(A27stdlife="n/a","n/a",IF(N$3&gt;(A27stdlife+$F388),(Input!$L$169*(1+vanilla5)^0.5)-SUM($L388:M388),(Input!$L$169*(1+vanilla5)^0.5)/A27stdlife))</f>
        <v>n/a</v>
      </c>
      <c r="O388" s="69" t="str">
        <f>IF(A27stdlife="n/a","n/a",IF(O$3&gt;(A27stdlife+$F388),(Input!$L$169*(1+vanilla5)^0.5)-SUM($L388:N388),(Input!$L$169*(1+vanilla5)^0.5)/A27stdlife))</f>
        <v>n/a</v>
      </c>
      <c r="P388" s="69" t="str">
        <f>IF(A27stdlife="n/a","n/a",IF(P$3&gt;(A27stdlife+$F388),(Input!$L$169*(1+vanilla5)^0.5)-SUM($L388:O388),(Input!$L$169*(1+vanilla5)^0.5)/A27stdlife))</f>
        <v>n/a</v>
      </c>
      <c r="Q388" s="69" t="str">
        <f>IF(A27stdlife="n/a","n/a",IF(Q$3&gt;(A27stdlife+$F388),(Input!$L$169*(1+vanilla5)^0.5)-SUM($L388:P388),(Input!$L$169*(1+vanilla5)^0.5)/A27stdlife))</f>
        <v>n/a</v>
      </c>
      <c r="R388" s="69"/>
      <c r="S388" s="104"/>
      <c r="T388" s="104"/>
      <c r="U388" s="104"/>
      <c r="V388" s="104"/>
      <c r="W388" s="104"/>
      <c r="X388" s="104"/>
      <c r="Y388" s="104"/>
      <c r="Z388" s="104"/>
      <c r="AA388" s="104"/>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537"/>
      <c r="F389" s="87">
        <v>6</v>
      </c>
      <c r="G389" s="27"/>
      <c r="H389" s="149"/>
      <c r="I389" s="151"/>
      <c r="J389" s="151"/>
      <c r="K389" s="151"/>
      <c r="L389" s="151"/>
      <c r="M389" s="150"/>
      <c r="N389" s="69" t="str">
        <f>IF(A27stdlife="n/a","n/a",IF(N$3&gt;(A27stdlife+$F389),(Input!$M$169*(1+vanilla6)^0.5)-SUM($M389:M389),(Input!$M$169*(1+vanilla6)^0.5)/A27stdlife))</f>
        <v>n/a</v>
      </c>
      <c r="O389" s="69" t="str">
        <f>IF(A27stdlife="n/a","n/a",IF(O$3&gt;(A27stdlife+$F389),(Input!$M$169*(1+vanilla6)^0.5)-SUM($M389:N389),(Input!$M$169*(1+vanilla6)^0.5)/A27stdlife))</f>
        <v>n/a</v>
      </c>
      <c r="P389" s="69" t="str">
        <f>IF(A27stdlife="n/a","n/a",IF(P$3&gt;(A27stdlife+$F389),(Input!$M$169*(1+vanilla6)^0.5)-SUM($M389:O389),(Input!$M$169*(1+vanilla6)^0.5)/A27stdlife))</f>
        <v>n/a</v>
      </c>
      <c r="Q389" s="69" t="str">
        <f>IF(A27stdlife="n/a","n/a",IF(Q$3&gt;(A27stdlife+$F389),(Input!$M$169*(1+vanilla6)^0.5)-SUM($M389:P389),(Input!$M$169*(1+vanilla6)^0.5)/A27stdlife))</f>
        <v>n/a</v>
      </c>
      <c r="R389" s="69"/>
      <c r="S389" s="104"/>
      <c r="T389" s="104"/>
      <c r="U389" s="104"/>
      <c r="V389" s="104"/>
      <c r="W389" s="104"/>
      <c r="X389" s="104"/>
      <c r="Y389" s="104"/>
      <c r="Z389" s="104"/>
      <c r="AA389" s="104"/>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37"/>
      <c r="F390" s="87">
        <v>7</v>
      </c>
      <c r="G390" s="27"/>
      <c r="H390" s="149"/>
      <c r="I390" s="151"/>
      <c r="J390" s="151"/>
      <c r="K390" s="151"/>
      <c r="L390" s="151"/>
      <c r="M390" s="151"/>
      <c r="N390" s="150"/>
      <c r="O390" s="69" t="str">
        <f>IF(A27stdlife="n/a","n/a",IF(O$3&gt;(A27stdlife+$F390),(Input!N$169*(1+vanilla7)^0.5)-SUM($N390:N390),(Input!$N$169*(1+vanilla7)^0.5)/A27stdlife))</f>
        <v>n/a</v>
      </c>
      <c r="P390" s="69" t="str">
        <f>IF(A27stdlife="n/a","n/a",IF(P$3&gt;(A27stdlife+$F390),(Input!O$169*(1+vanilla7)^0.5)-SUM($N390:O390),(Input!$N$169*(1+vanilla7)^0.5)/A27stdlife))</f>
        <v>n/a</v>
      </c>
      <c r="Q390" s="69" t="str">
        <f>IF(A27stdlife="n/a","n/a",IF(Q$3&gt;(A27stdlife+$F390),(Input!P$169*(1+vanilla7)^0.5)-SUM($N390:P390),(Input!$N$169*(1+vanilla7)^0.5)/A27stdlife))</f>
        <v>n/a</v>
      </c>
      <c r="R390" s="69"/>
      <c r="S390" s="104"/>
      <c r="T390" s="104"/>
      <c r="U390" s="104"/>
      <c r="V390" s="104"/>
      <c r="W390" s="104"/>
      <c r="X390" s="104"/>
      <c r="Y390" s="104"/>
      <c r="Z390" s="104"/>
      <c r="AA390" s="104"/>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37"/>
      <c r="F391" s="87">
        <v>8</v>
      </c>
      <c r="G391" s="27"/>
      <c r="H391" s="149"/>
      <c r="I391" s="151"/>
      <c r="J391" s="151"/>
      <c r="K391" s="151"/>
      <c r="L391" s="151"/>
      <c r="M391" s="151"/>
      <c r="N391" s="151"/>
      <c r="O391" s="150"/>
      <c r="P391" s="69" t="str">
        <f>IF(A27stdlife="n/a","n/a",IF(P$3&gt;(A27stdlife+$F391),(Input!$O$169*(1+vanilla8)^0.5)-SUM($O391:O391),(Input!$O$169*(1+vanilla8)^0.5)/A27stdlife))</f>
        <v>n/a</v>
      </c>
      <c r="Q391" s="69" t="str">
        <f>IF(A27stdlife="n/a","n/a",IF(Q$3&gt;(A27stdlife+$F391),(Input!$O$169*(1+vanilla8)^0.5)-SUM($O391:P391),(Input!$O$169*(1+vanilla8)^0.5)/A27stdlife))</f>
        <v>n/a</v>
      </c>
      <c r="R391" s="69"/>
      <c r="S391" s="104"/>
      <c r="T391" s="104"/>
      <c r="U391" s="104"/>
      <c r="V391" s="104"/>
      <c r="W391" s="104"/>
      <c r="X391" s="104"/>
      <c r="Y391" s="104"/>
      <c r="Z391" s="104"/>
      <c r="AA391" s="104"/>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37"/>
      <c r="F392" s="87">
        <v>9</v>
      </c>
      <c r="G392" s="27"/>
      <c r="H392" s="149"/>
      <c r="I392" s="151"/>
      <c r="J392" s="151"/>
      <c r="K392" s="151"/>
      <c r="L392" s="151"/>
      <c r="M392" s="151"/>
      <c r="N392" s="151"/>
      <c r="O392" s="151"/>
      <c r="P392" s="150"/>
      <c r="Q392" s="69" t="str">
        <f>IF(A27stdlife="n/a","n/a",IF(Q$3&gt;(A27stdlife+$F392),(Input!$P$169*(1+vanilla9)^0.5)-SUM($P392:P392),(Input!$P$169*(1+vanilla9)^0.5)/A27stdlife))</f>
        <v>n/a</v>
      </c>
      <c r="R392" s="69"/>
      <c r="S392" s="104"/>
      <c r="T392" s="104"/>
      <c r="U392" s="104"/>
      <c r="V392" s="104"/>
      <c r="W392" s="104"/>
      <c r="X392" s="104"/>
      <c r="Y392" s="104"/>
      <c r="Z392" s="104"/>
      <c r="AA392" s="104"/>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37"/>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8"/>
      <c r="H395" s="68" t="str">
        <f>IF(H$3&gt;A28remlife,A28value-SUM($G395:G395),IF(A28remlife="N/A","n/a",A28value/A28remlife))</f>
        <v>n/a</v>
      </c>
      <c r="I395" s="68" t="str">
        <f>IF(I$3&gt;A28remlife,A28value-SUM($G395:H395),IF(A28remlife="N/A","n/a",A28value/A28remlife))</f>
        <v>n/a</v>
      </c>
      <c r="J395" s="68" t="str">
        <f>IF(J$3&gt;A28remlife,A28value-SUM($G395:I395),IF(A28remlife="N/A","n/a",A28value/A28remlife))</f>
        <v>n/a</v>
      </c>
      <c r="K395" s="68" t="str">
        <f>IF(K$3&gt;A28remlife,A28value-SUM($G395:J395),IF(A28remlife="N/A","n/a",A28value/A28remlife))</f>
        <v>n/a</v>
      </c>
      <c r="L395" s="68" t="str">
        <f>IF(L$3&gt;A28remlife,A28value-SUM($G395:K395),IF(A28remlife="N/A","n/a",A28value/A28remlife))</f>
        <v>n/a</v>
      </c>
      <c r="M395" s="68" t="str">
        <f>IF(M$3&gt;A28remlife,A28value-SUM($G395:L395),IF(A28remlife="N/A","n/a",A28value/A28remlife))</f>
        <v>n/a</v>
      </c>
      <c r="N395" s="68" t="str">
        <f>IF(N$3&gt;A28remlife,A28value-SUM($G395:M395),IF(A28remlife="N/A","n/a",A28value/A28remlife))</f>
        <v>n/a</v>
      </c>
      <c r="O395" s="68" t="str">
        <f>IF(O$3&gt;A28remlife,A28value-SUM($G395:N395),IF(A28remlife="N/A","n/a",A28value/A28remlife))</f>
        <v>n/a</v>
      </c>
      <c r="P395" s="68" t="str">
        <f>IF(P$3&gt;A28remlife,A28value-SUM($G395:O395),IF(A28remlife="N/A","n/a",A28value/A28remlife))</f>
        <v>n/a</v>
      </c>
      <c r="Q395" s="68" t="str">
        <f>IF(Q$3&gt;A28remlife,A28value-SUM($G395:P395),IF(A28remlife="N/A","n/a",A28value/A28remlife))</f>
        <v>n/a</v>
      </c>
      <c r="R395" s="68"/>
      <c r="S395" s="104"/>
      <c r="T395" s="104"/>
      <c r="U395" s="104"/>
      <c r="V395" s="104"/>
      <c r="W395" s="104"/>
      <c r="X395" s="104"/>
      <c r="Y395" s="104"/>
      <c r="Z395" s="104"/>
      <c r="AA395" s="104"/>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536" t="s">
        <v>86</v>
      </c>
      <c r="F396" s="87">
        <v>0</v>
      </c>
      <c r="G396" s="124"/>
      <c r="H396" s="69"/>
      <c r="I396" s="69"/>
      <c r="J396" s="69"/>
      <c r="K396" s="69"/>
      <c r="L396" s="69"/>
      <c r="M396" s="166"/>
      <c r="N396" s="113"/>
      <c r="O396" s="69"/>
      <c r="P396" s="69"/>
      <c r="Q396" s="69"/>
      <c r="R396" s="69"/>
      <c r="S396" s="104"/>
      <c r="T396" s="104"/>
      <c r="U396" s="104"/>
      <c r="V396" s="104"/>
      <c r="W396" s="104"/>
      <c r="X396" s="104"/>
      <c r="Y396" s="104"/>
      <c r="Z396" s="104"/>
      <c r="AA396" s="104"/>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37"/>
      <c r="F397" s="87">
        <v>1</v>
      </c>
      <c r="G397" s="124"/>
      <c r="H397" s="148"/>
      <c r="I397" s="69" t="str">
        <f>IF(A28stdlife="n/a","n/a",IF(I$3&gt;(A28stdlife+$F397),(Input!$H$170*(1+vanilla1)^0.5)-SUM($H397:H397),(Input!$H$170*(1+vanilla1)^0.5)/A28stdlife))</f>
        <v>n/a</v>
      </c>
      <c r="J397" s="69" t="str">
        <f>IF(A28stdlife="n/a","n/a",IF(J$3&gt;(A28stdlife+$F397),(Input!$H$170*(1+vanilla1)^0.5)-SUM($H397:I397),(Input!$H$170*(1+vanilla1)^0.5)/A28stdlife))</f>
        <v>n/a</v>
      </c>
      <c r="K397" s="69" t="str">
        <f>IF(A28stdlife="n/a","n/a",IF(K$3&gt;(A28stdlife+$F397),(Input!$H$170*(1+vanilla1)^0.5)-SUM($H397:J397),(Input!$H$170*(1+vanilla1)^0.5)/A28stdlife))</f>
        <v>n/a</v>
      </c>
      <c r="L397" s="69" t="str">
        <f>IF(A28stdlife="n/a","n/a",IF(L$3&gt;(A28stdlife+$F397),(Input!$H$170*(1+vanilla1)^0.5)-SUM($H397:K397),(Input!$H$170*(1+vanilla1)^0.5)/A28stdlife))</f>
        <v>n/a</v>
      </c>
      <c r="M397" s="69" t="str">
        <f>IF(A28stdlife="n/a","n/a",IF(M$3&gt;(A28stdlife+$F397),(Input!$H$170*(1+vanilla1)^0.5)-SUM($H397:L397),(Input!$H$170*(1+vanilla1)^0.5)/A28stdlife))</f>
        <v>n/a</v>
      </c>
      <c r="N397" s="69" t="str">
        <f>IF(A28stdlife="n/a","n/a",IF(N$3&gt;(A28stdlife+$F397),(Input!$H$170*(1+vanilla1)^0.5)-SUM($H397:M397),(Input!$H$170*(1+vanilla1)^0.5)/A28stdlife))</f>
        <v>n/a</v>
      </c>
      <c r="O397" s="69" t="str">
        <f>IF(A28stdlife="n/a","n/a",IF(O$3&gt;(A28stdlife+$F397),(Input!$H$170*(1+vanilla1)^0.5)-SUM($H397:N397),(Input!$H$170*(1+vanilla1)^0.5)/A28stdlife))</f>
        <v>n/a</v>
      </c>
      <c r="P397" s="69" t="str">
        <f>IF(A28stdlife="n/a","n/a",IF(P$3&gt;(A28stdlife+$F397),(Input!$H$170*(1+vanilla1)^0.5)-SUM($H397:O397),(Input!$H$170*(1+vanilla1)^0.5)/A28stdlife))</f>
        <v>n/a</v>
      </c>
      <c r="Q397" s="69" t="str">
        <f>IF(A28stdlife="n/a","n/a",IF(Q$3&gt;(A28stdlife+$F397),(Input!$H$170*(1+vanilla1)^0.5)-SUM($H397:P397),(Input!$H$170*(1+vanilla1)^0.5)/A28stdlife))</f>
        <v>n/a</v>
      </c>
      <c r="R397" s="69"/>
      <c r="S397" s="104"/>
      <c r="T397" s="104"/>
      <c r="U397" s="104"/>
      <c r="V397" s="104"/>
      <c r="W397" s="104"/>
      <c r="X397" s="104"/>
      <c r="Y397" s="104"/>
      <c r="Z397" s="104"/>
      <c r="AA397" s="104"/>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37"/>
      <c r="F398" s="87">
        <v>2</v>
      </c>
      <c r="G398" s="124"/>
      <c r="H398" s="149"/>
      <c r="I398" s="150"/>
      <c r="J398" s="69" t="str">
        <f>IF(A28stdlife="n/a","n/a",IF(J$3&gt;(A28stdlife+$F398),(Input!$I$170*(1+vanilla2)^0.5)-SUM($I398:I398),(Input!$I$170*(1+vanilla2)^0.5)/A28stdlife))</f>
        <v>n/a</v>
      </c>
      <c r="K398" s="69" t="str">
        <f>IF(A28stdlife="n/a","n/a",IF(K$3&gt;(A28stdlife+$F398),(Input!$I$170*(1+vanilla2)^0.5)-SUM($I398:J398),(Input!$I$170*(1+vanilla2)^0.5)/A28stdlife))</f>
        <v>n/a</v>
      </c>
      <c r="L398" s="69" t="str">
        <f>IF(A28stdlife="n/a","n/a",IF(L$3&gt;(A28stdlife+$F398),(Input!$I$170*(1+vanilla2)^0.5)-SUM($I398:K398),(Input!$I$170*(1+vanilla2)^0.5)/A28stdlife))</f>
        <v>n/a</v>
      </c>
      <c r="M398" s="69" t="str">
        <f>IF(A28stdlife="n/a","n/a",IF(M$3&gt;(A28stdlife+$F398),(Input!$I$170*(1+vanilla2)^0.5)-SUM($I398:L398),(Input!$I$170*(1+vanilla2)^0.5)/A28stdlife))</f>
        <v>n/a</v>
      </c>
      <c r="N398" s="69" t="str">
        <f>IF(A28stdlife="n/a","n/a",IF(N$3&gt;(A28stdlife+$F398),(Input!$I$170*(1+vanilla2)^0.5)-SUM($I398:M398),(Input!$I$170*(1+vanilla2)^0.5)/A28stdlife))</f>
        <v>n/a</v>
      </c>
      <c r="O398" s="69" t="str">
        <f>IF(A28stdlife="n/a","n/a",IF(O$3&gt;(A28stdlife+$F398),(Input!$I$170*(1+vanilla2)^0.5)-SUM($I398:N398),(Input!$I$170*(1+vanilla2)^0.5)/A28stdlife))</f>
        <v>n/a</v>
      </c>
      <c r="P398" s="69" t="str">
        <f>IF(A28stdlife="n/a","n/a",IF(P$3&gt;(A28stdlife+$F398),(Input!$I$170*(1+vanilla2)^0.5)-SUM($I398:O398),(Input!$I$170*(1+vanilla2)^0.5)/A28stdlife))</f>
        <v>n/a</v>
      </c>
      <c r="Q398" s="69" t="str">
        <f>IF(A28stdlife="n/a","n/a",IF(Q$3&gt;(A28stdlife+$F398),(Input!$I$170*(1+vanilla2)^0.5)-SUM($I398:P398),(Input!$I$170*(1+vanilla2)^0.5)/A28stdlife))</f>
        <v>n/a</v>
      </c>
      <c r="R398" s="69"/>
      <c r="S398" s="104"/>
      <c r="T398" s="104"/>
      <c r="U398" s="104"/>
      <c r="V398" s="104"/>
      <c r="W398" s="104"/>
      <c r="X398" s="104"/>
      <c r="Y398" s="104"/>
      <c r="Z398" s="104"/>
      <c r="AA398" s="104"/>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37"/>
      <c r="F399" s="87">
        <v>3</v>
      </c>
      <c r="G399" s="124"/>
      <c r="H399" s="149"/>
      <c r="I399" s="151"/>
      <c r="J399" s="150"/>
      <c r="K399" s="69" t="str">
        <f>IF(A28stdlife="n/a","n/a",IF(K$3&gt;(A28stdlife+$F399),(Input!$J$170*(1+vanilla3)^0.5)-SUM($J399:J399),(Input!$J$170*(1+vanilla3)^0.5)/A28stdlife))</f>
        <v>n/a</v>
      </c>
      <c r="L399" s="69" t="str">
        <f>IF(A28stdlife="n/a","n/a",IF(L$3&gt;(A28stdlife+$F399),(Input!$J$170*(1+vanilla3)^0.5)-SUM($J399:K399),(Input!$J$170*(1+vanilla3)^0.5)/A28stdlife))</f>
        <v>n/a</v>
      </c>
      <c r="M399" s="69" t="str">
        <f>IF(A28stdlife="n/a","n/a",IF(M$3&gt;(A28stdlife+$F399),(Input!$J$170*(1+vanilla3)^0.5)-SUM($J399:L399),(Input!$J$170*(1+vanilla3)^0.5)/A28stdlife))</f>
        <v>n/a</v>
      </c>
      <c r="N399" s="69" t="str">
        <f>IF(A28stdlife="n/a","n/a",IF(N$3&gt;(A28stdlife+$F399),(Input!$J$170*(1+vanilla3)^0.5)-SUM($J399:M399),(Input!$J$170*(1+vanilla3)^0.5)/A28stdlife))</f>
        <v>n/a</v>
      </c>
      <c r="O399" s="69" t="str">
        <f>IF(A28stdlife="n/a","n/a",IF(O$3&gt;(A28stdlife+$F399),(Input!$J$170*(1+vanilla3)^0.5)-SUM($J399:N399),(Input!$J$170*(1+vanilla3)^0.5)/A28stdlife))</f>
        <v>n/a</v>
      </c>
      <c r="P399" s="69" t="str">
        <f>IF(A28stdlife="n/a","n/a",IF(P$3&gt;(A28stdlife+$F399),(Input!$J$170*(1+vanilla3)^0.5)-SUM($J399:O399),(Input!$J$170*(1+vanilla3)^0.5)/A28stdlife))</f>
        <v>n/a</v>
      </c>
      <c r="Q399" s="69" t="str">
        <f>IF(A28stdlife="n/a","n/a",IF(Q$3&gt;(A28stdlife+$F399),(Input!$J$170*(1+vanilla3)^0.5)-SUM($J399:P399),(Input!$J$170*(1+vanilla3)^0.5)/A28stdlife))</f>
        <v>n/a</v>
      </c>
      <c r="R399" s="69"/>
      <c r="S399" s="104"/>
      <c r="T399" s="104"/>
      <c r="U399" s="104"/>
      <c r="V399" s="104"/>
      <c r="W399" s="104"/>
      <c r="X399" s="104"/>
      <c r="Y399" s="104"/>
      <c r="Z399" s="104"/>
      <c r="AA399" s="104"/>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537"/>
      <c r="F400" s="87">
        <v>4</v>
      </c>
      <c r="G400" s="124"/>
      <c r="H400" s="149"/>
      <c r="I400" s="151"/>
      <c r="J400" s="151"/>
      <c r="K400" s="150"/>
      <c r="L400" s="69" t="str">
        <f>IF(A28stdlife="n/a","n/a",IF(L$3&gt;(A28stdlife+$F400),(Input!$K$170*(1+vanilla4)^0.5)-SUM($K400:K400),(Input!$K$170*(1+vanilla4)^0.5)/A28stdlife))</f>
        <v>n/a</v>
      </c>
      <c r="M400" s="69" t="str">
        <f>IF(A28stdlife="n/a","n/a",IF(M$3&gt;(A28stdlife+$F400),(Input!$K$170*(1+vanilla4)^0.5)-SUM($K400:L400),(Input!$K$170*(1+vanilla4)^0.5)/A28stdlife))</f>
        <v>n/a</v>
      </c>
      <c r="N400" s="69" t="str">
        <f>IF(A28stdlife="n/a","n/a",IF(N$3&gt;(A28stdlife+$F400),(Input!$K$170*(1+vanilla4)^0.5)-SUM($K400:M400),(Input!$K$170*(1+vanilla4)^0.5)/A28stdlife))</f>
        <v>n/a</v>
      </c>
      <c r="O400" s="69" t="str">
        <f>IF(A28stdlife="n/a","n/a",IF(O$3&gt;(A28stdlife+$F400),(Input!$K$170*(1+vanilla4)^0.5)-SUM($K400:N400),(Input!$K$170*(1+vanilla4)^0.5)/A28stdlife))</f>
        <v>n/a</v>
      </c>
      <c r="P400" s="69" t="str">
        <f>IF(A28stdlife="n/a","n/a",IF(P$3&gt;(A28stdlife+$F400),(Input!$K$170*(1+vanilla4)^0.5)-SUM($K400:O400),(Input!$K$170*(1+vanilla4)^0.5)/A28stdlife))</f>
        <v>n/a</v>
      </c>
      <c r="Q400" s="69" t="str">
        <f>IF(A28stdlife="n/a","n/a",IF(Q$3&gt;(A28stdlife+$F400),(Input!$K$170*(1+vanilla4)^0.5)-SUM($K400:P400),(Input!$K$170*(1+vanilla4)^0.5)/A28stdlife))</f>
        <v>n/a</v>
      </c>
      <c r="R400" s="69"/>
      <c r="S400" s="104"/>
      <c r="T400" s="104"/>
      <c r="U400" s="104"/>
      <c r="V400" s="104"/>
      <c r="W400" s="104"/>
      <c r="X400" s="104"/>
      <c r="Y400" s="104"/>
      <c r="Z400" s="104"/>
      <c r="AA400" s="104"/>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537"/>
      <c r="F401" s="87">
        <v>5</v>
      </c>
      <c r="G401" s="27"/>
      <c r="H401" s="149"/>
      <c r="I401" s="151"/>
      <c r="J401" s="151"/>
      <c r="K401" s="151"/>
      <c r="L401" s="150"/>
      <c r="M401" s="69" t="str">
        <f>IF(A28stdlife="n/a","n/a",IF(M$3&gt;(A28stdlife+$F401),(Input!$L$170*(1+vanilla5)^0.5)-SUM($L401:L401),(Input!$L$170*(1+vanilla5)^0.5)/A28stdlife))</f>
        <v>n/a</v>
      </c>
      <c r="N401" s="69" t="str">
        <f>IF(A28stdlife="n/a","n/a",IF(N$3&gt;(A28stdlife+$F401),(Input!$L$170*(1+vanilla5)^0.5)-SUM($L401:M401),(Input!$L$170*(1+vanilla5)^0.5)/A28stdlife))</f>
        <v>n/a</v>
      </c>
      <c r="O401" s="69" t="str">
        <f>IF(A28stdlife="n/a","n/a",IF(O$3&gt;(A28stdlife+$F401),(Input!$L$170*(1+vanilla5)^0.5)-SUM($L401:N401),(Input!$L$170*(1+vanilla5)^0.5)/A28stdlife))</f>
        <v>n/a</v>
      </c>
      <c r="P401" s="69" t="str">
        <f>IF(A28stdlife="n/a","n/a",IF(P$3&gt;(A28stdlife+$F401),(Input!$L$170*(1+vanilla5)^0.5)-SUM($L401:O401),(Input!$L$170*(1+vanilla5)^0.5)/A28stdlife))</f>
        <v>n/a</v>
      </c>
      <c r="Q401" s="69" t="str">
        <f>IF(A28stdlife="n/a","n/a",IF(Q$3&gt;(A28stdlife+$F401),(Input!$L$170*(1+vanilla5)^0.5)-SUM($L401:P401),(Input!$L$170*(1+vanilla5)^0.5)/A28stdlife))</f>
        <v>n/a</v>
      </c>
      <c r="R401" s="69"/>
      <c r="S401" s="104"/>
      <c r="T401" s="104"/>
      <c r="U401" s="104"/>
      <c r="V401" s="104"/>
      <c r="W401" s="104"/>
      <c r="X401" s="104"/>
      <c r="Y401" s="104"/>
      <c r="Z401" s="104"/>
      <c r="AA401" s="104"/>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537"/>
      <c r="F402" s="87">
        <v>6</v>
      </c>
      <c r="G402" s="27"/>
      <c r="H402" s="149"/>
      <c r="I402" s="151"/>
      <c r="J402" s="151"/>
      <c r="K402" s="151"/>
      <c r="L402" s="151"/>
      <c r="M402" s="150"/>
      <c r="N402" s="69" t="str">
        <f>IF(A28stdlife="n/a","n/a",IF(N$3&gt;(A28stdlife+$F402),(Input!$M$170*(1+vanilla6)^0.5)-SUM($M402:M402),(Input!$M$170*(1+vanilla6)^0.5)/A28stdlife))</f>
        <v>n/a</v>
      </c>
      <c r="O402" s="69" t="str">
        <f>IF(A28stdlife="n/a","n/a",IF(O$3&gt;(A28stdlife+$F402),(Input!$M$170*(1+vanilla6)^0.5)-SUM($M402:N402),(Input!$M$170*(1+vanilla6)^0.5)/A28stdlife))</f>
        <v>n/a</v>
      </c>
      <c r="P402" s="69" t="str">
        <f>IF(A28stdlife="n/a","n/a",IF(P$3&gt;(A28stdlife+$F402),(Input!$M$170*(1+vanilla6)^0.5)-SUM($M402:O402),(Input!$M$170*(1+vanilla6)^0.5)/A28stdlife))</f>
        <v>n/a</v>
      </c>
      <c r="Q402" s="69" t="str">
        <f>IF(A28stdlife="n/a","n/a",IF(Q$3&gt;(A28stdlife+$F402),(Input!$M$170*(1+vanilla6)^0.5)-SUM($M402:P402),(Input!$M$170*(1+vanilla6)^0.5)/A28stdlife))</f>
        <v>n/a</v>
      </c>
      <c r="R402" s="69"/>
      <c r="S402" s="104"/>
      <c r="T402" s="104"/>
      <c r="U402" s="104"/>
      <c r="V402" s="104"/>
      <c r="W402" s="104"/>
      <c r="X402" s="104"/>
      <c r="Y402" s="104"/>
      <c r="Z402" s="104"/>
      <c r="AA402" s="104"/>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37"/>
      <c r="F403" s="87">
        <v>7</v>
      </c>
      <c r="G403" s="27"/>
      <c r="H403" s="149"/>
      <c r="I403" s="151"/>
      <c r="J403" s="151"/>
      <c r="K403" s="151"/>
      <c r="L403" s="151"/>
      <c r="M403" s="151"/>
      <c r="N403" s="150"/>
      <c r="O403" s="69" t="str">
        <f>IF(A28stdlife="n/a","n/a",IF(O$3&gt;(A28stdlife+$F403),(Input!N$170*(1+vanilla7)^0.5)-SUM($N403:N403),(Input!$N$170*(1+vanilla7)^0.5)/A28stdlife))</f>
        <v>n/a</v>
      </c>
      <c r="P403" s="69" t="str">
        <f>IF(A28stdlife="n/a","n/a",IF(P$3&gt;(A28stdlife+$F403),(Input!O$170*(1+vanilla7)^0.5)-SUM($N403:O403),(Input!$N$170*(1+vanilla7)^0.5)/A28stdlife))</f>
        <v>n/a</v>
      </c>
      <c r="Q403" s="69" t="str">
        <f>IF(A28stdlife="n/a","n/a",IF(Q$3&gt;(A28stdlife+$F403),(Input!P$170*(1+vanilla7)^0.5)-SUM($N403:P403),(Input!$N$170*(1+vanilla7)^0.5)/A28stdlife))</f>
        <v>n/a</v>
      </c>
      <c r="R403" s="69"/>
      <c r="S403" s="104"/>
      <c r="T403" s="104"/>
      <c r="U403" s="104"/>
      <c r="V403" s="104"/>
      <c r="W403" s="104"/>
      <c r="X403" s="104"/>
      <c r="Y403" s="104"/>
      <c r="Z403" s="104"/>
      <c r="AA403" s="104"/>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37"/>
      <c r="F404" s="87">
        <v>8</v>
      </c>
      <c r="G404" s="27"/>
      <c r="H404" s="149"/>
      <c r="I404" s="151"/>
      <c r="J404" s="151"/>
      <c r="K404" s="151"/>
      <c r="L404" s="151"/>
      <c r="M404" s="151"/>
      <c r="N404" s="151"/>
      <c r="O404" s="150"/>
      <c r="P404" s="69" t="str">
        <f>IF(A28stdlife="n/a","n/a",IF(P$3&gt;(A28stdlife+$F404),(Input!$O$170*(1+vanilla8)^0.5)-SUM($O404:O404),(Input!$O$170*(1+vanilla8)^0.5)/A28stdlife))</f>
        <v>n/a</v>
      </c>
      <c r="Q404" s="69" t="str">
        <f>IF(A28stdlife="n/a","n/a",IF(Q$3&gt;(A28stdlife+$F404),(Input!$O$170*(1+vanilla8)^0.5)-SUM($O404:P404),(Input!$O$170*(1+vanilla8)^0.5)/A28stdlife))</f>
        <v>n/a</v>
      </c>
      <c r="R404" s="69"/>
      <c r="S404" s="104"/>
      <c r="T404" s="104"/>
      <c r="U404" s="104"/>
      <c r="V404" s="104"/>
      <c r="W404" s="104"/>
      <c r="X404" s="104"/>
      <c r="Y404" s="104"/>
      <c r="Z404" s="104"/>
      <c r="AA404" s="104"/>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37"/>
      <c r="F405" s="87">
        <v>9</v>
      </c>
      <c r="G405" s="27"/>
      <c r="H405" s="149"/>
      <c r="I405" s="151"/>
      <c r="J405" s="151"/>
      <c r="K405" s="151"/>
      <c r="L405" s="151"/>
      <c r="M405" s="151"/>
      <c r="N405" s="151"/>
      <c r="O405" s="151"/>
      <c r="P405" s="150"/>
      <c r="Q405" s="69" t="str">
        <f>IF(A28stdlife="n/a","n/a",IF(Q$3&gt;(A28stdlife+$F405),(Input!$P$170*(1+vanilla9)^0.5)-SUM($P405:P405),(Input!$P$170*(1+vanilla9)^0.5)/A28stdlife))</f>
        <v>n/a</v>
      </c>
      <c r="R405" s="69"/>
      <c r="S405" s="104"/>
      <c r="T405" s="104"/>
      <c r="U405" s="104"/>
      <c r="V405" s="104"/>
      <c r="W405" s="104"/>
      <c r="X405" s="104"/>
      <c r="Y405" s="104"/>
      <c r="Z405" s="104"/>
      <c r="AA405" s="104"/>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37"/>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8"/>
      <c r="H408" s="68" t="str">
        <f>IF(H$3&gt;A29remlife,A29value-SUM($G408:G408),IF(A29remlife="N/A","n/a",A29value/A29remlife))</f>
        <v>n/a</v>
      </c>
      <c r="I408" s="68" t="str">
        <f>IF(I$3&gt;A29remlife,A29value-SUM($G408:H408),IF(A29remlife="N/A","n/a",A29value/A29remlife))</f>
        <v>n/a</v>
      </c>
      <c r="J408" s="68" t="str">
        <f>IF(J$3&gt;A29remlife,A29value-SUM($G408:I408),IF(A29remlife="N/A","n/a",A29value/A29remlife))</f>
        <v>n/a</v>
      </c>
      <c r="K408" s="68" t="str">
        <f>IF(K$3&gt;A29remlife,A29value-SUM($G408:J408),IF(A29remlife="N/A","n/a",A29value/A29remlife))</f>
        <v>n/a</v>
      </c>
      <c r="L408" s="68" t="str">
        <f>IF(L$3&gt;A29remlife,A29value-SUM($G408:K408),IF(A29remlife="N/A","n/a",A29value/A29remlife))</f>
        <v>n/a</v>
      </c>
      <c r="M408" s="68" t="str">
        <f>IF(M$3&gt;A29remlife,A29value-SUM($G408:L408),IF(A29remlife="N/A","n/a",A29value/A29remlife))</f>
        <v>n/a</v>
      </c>
      <c r="N408" s="68" t="str">
        <f>IF(N$3&gt;A29remlife,A29value-SUM($G408:M408),IF(A29remlife="N/A","n/a",A29value/A29remlife))</f>
        <v>n/a</v>
      </c>
      <c r="O408" s="68" t="str">
        <f>IF(O$3&gt;A29remlife,A29value-SUM($G408:N408),IF(A29remlife="N/A","n/a",A29value/A29remlife))</f>
        <v>n/a</v>
      </c>
      <c r="P408" s="68" t="str">
        <f>IF(P$3&gt;A29remlife,A29value-SUM($G408:O408),IF(A29remlife="N/A","n/a",A29value/A29remlife))</f>
        <v>n/a</v>
      </c>
      <c r="Q408" s="68" t="str">
        <f>IF(Q$3&gt;A29remlife,A29value-SUM($G408:P408),IF(A29remlife="N/A","n/a",A29value/A29remlife))</f>
        <v>n/a</v>
      </c>
      <c r="R408" s="68"/>
      <c r="S408" s="104"/>
      <c r="T408" s="104"/>
      <c r="U408" s="104"/>
      <c r="V408" s="104"/>
      <c r="W408" s="104"/>
      <c r="X408" s="104"/>
      <c r="Y408" s="104"/>
      <c r="Z408" s="104"/>
      <c r="AA408" s="104"/>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536" t="s">
        <v>86</v>
      </c>
      <c r="F409" s="87">
        <v>0</v>
      </c>
      <c r="G409" s="124"/>
      <c r="H409" s="69"/>
      <c r="I409" s="69"/>
      <c r="J409" s="69"/>
      <c r="K409" s="69"/>
      <c r="L409" s="69"/>
      <c r="M409" s="166"/>
      <c r="N409" s="113"/>
      <c r="O409" s="69"/>
      <c r="P409" s="69"/>
      <c r="Q409" s="69"/>
      <c r="R409" s="69"/>
      <c r="S409" s="104"/>
      <c r="T409" s="104"/>
      <c r="U409" s="104"/>
      <c r="V409" s="104"/>
      <c r="W409" s="104"/>
      <c r="X409" s="104"/>
      <c r="Y409" s="104"/>
      <c r="Z409" s="104"/>
      <c r="AA409" s="104"/>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37"/>
      <c r="F410" s="87">
        <v>1</v>
      </c>
      <c r="G410" s="124"/>
      <c r="H410" s="148"/>
      <c r="I410" s="69" t="str">
        <f>IF(A29stdlife="n/a","n/a",IF(I$3&gt;(A29stdlife+$F410),(Input!$H$171*(1+vanilla1)^0.5)-SUM($H410:H410),(Input!$H$171*(1+vanilla1)^0.5)/A29stdlife))</f>
        <v>n/a</v>
      </c>
      <c r="J410" s="69" t="str">
        <f>IF(A29stdlife="n/a","n/a",IF(J$3&gt;(A29stdlife+$F410),(Input!$H$171*(1+vanilla1)^0.5)-SUM($H410:I410),(Input!$H$171*(1+vanilla1)^0.5)/A29stdlife))</f>
        <v>n/a</v>
      </c>
      <c r="K410" s="69" t="str">
        <f>IF(A29stdlife="n/a","n/a",IF(K$3&gt;(A29stdlife+$F410),(Input!$H$171*(1+vanilla1)^0.5)-SUM($H410:J410),(Input!$H$171*(1+vanilla1)^0.5)/A29stdlife))</f>
        <v>n/a</v>
      </c>
      <c r="L410" s="69" t="str">
        <f>IF(A29stdlife="n/a","n/a",IF(L$3&gt;(A29stdlife+$F410),(Input!$H$171*(1+vanilla1)^0.5)-SUM($H410:K410),(Input!$H$171*(1+vanilla1)^0.5)/A29stdlife))</f>
        <v>n/a</v>
      </c>
      <c r="M410" s="69" t="str">
        <f>IF(A29stdlife="n/a","n/a",IF(M$3&gt;(A29stdlife+$F410),(Input!$H$171*(1+vanilla1)^0.5)-SUM($H410:L410),(Input!$H$171*(1+vanilla1)^0.5)/A29stdlife))</f>
        <v>n/a</v>
      </c>
      <c r="N410" s="69" t="str">
        <f>IF(A29stdlife="n/a","n/a",IF(N$3&gt;(A29stdlife+$F410),(Input!$H$171*(1+vanilla1)^0.5)-SUM($H410:M410),(Input!$H$171*(1+vanilla1)^0.5)/A29stdlife))</f>
        <v>n/a</v>
      </c>
      <c r="O410" s="69" t="str">
        <f>IF(A29stdlife="n/a","n/a",IF(O$3&gt;(A29stdlife+$F410),(Input!$H$171*(1+vanilla1)^0.5)-SUM($H410:N410),(Input!$H$171*(1+vanilla1)^0.5)/A29stdlife))</f>
        <v>n/a</v>
      </c>
      <c r="P410" s="69" t="str">
        <f>IF(A29stdlife="n/a","n/a",IF(P$3&gt;(A29stdlife+$F410),(Input!$H$171*(1+vanilla1)^0.5)-SUM($H410:O410),(Input!$H$171*(1+vanilla1)^0.5)/A29stdlife))</f>
        <v>n/a</v>
      </c>
      <c r="Q410" s="69" t="str">
        <f>IF(A29stdlife="n/a","n/a",IF(Q$3&gt;(A29stdlife+$F410),(Input!$H$171*(1+vanilla1)^0.5)-SUM($H410:P410),(Input!$H$171*(1+vanilla1)^0.5)/A29stdlife))</f>
        <v>n/a</v>
      </c>
      <c r="R410" s="69"/>
      <c r="S410" s="104"/>
      <c r="T410" s="104"/>
      <c r="U410" s="104"/>
      <c r="V410" s="104"/>
      <c r="W410" s="104"/>
      <c r="X410" s="104"/>
      <c r="Y410" s="104"/>
      <c r="Z410" s="104"/>
      <c r="AA410" s="104"/>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37"/>
      <c r="F411" s="87">
        <v>2</v>
      </c>
      <c r="G411" s="124"/>
      <c r="H411" s="149"/>
      <c r="I411" s="150"/>
      <c r="J411" s="69" t="str">
        <f>IF(A29stdlife="n/a","n/a",IF(J$3&gt;(A29stdlife+$F411),(Input!$I$171*(1+vanilla2)^0.5)-SUM($I411:I411),(Input!$I$171*(1+vanilla2)^0.5)/A29stdlife))</f>
        <v>n/a</v>
      </c>
      <c r="K411" s="69" t="str">
        <f>IF(A29stdlife="n/a","n/a",IF(K$3&gt;(A29stdlife+$F411),(Input!$I$171*(1+vanilla2)^0.5)-SUM($I411:J411),(Input!$I$171*(1+vanilla2)^0.5)/A29stdlife))</f>
        <v>n/a</v>
      </c>
      <c r="L411" s="69" t="str">
        <f>IF(A29stdlife="n/a","n/a",IF(L$3&gt;(A29stdlife+$F411),(Input!$I$171*(1+vanilla2)^0.5)-SUM($I411:K411),(Input!$I$171*(1+vanilla2)^0.5)/A29stdlife))</f>
        <v>n/a</v>
      </c>
      <c r="M411" s="69" t="str">
        <f>IF(A29stdlife="n/a","n/a",IF(M$3&gt;(A29stdlife+$F411),(Input!$I$171*(1+vanilla2)^0.5)-SUM($I411:L411),(Input!$I$171*(1+vanilla2)^0.5)/A29stdlife))</f>
        <v>n/a</v>
      </c>
      <c r="N411" s="69" t="str">
        <f>IF(A29stdlife="n/a","n/a",IF(N$3&gt;(A29stdlife+$F411),(Input!$I$171*(1+vanilla2)^0.5)-SUM($I411:M411),(Input!$I$171*(1+vanilla2)^0.5)/A29stdlife))</f>
        <v>n/a</v>
      </c>
      <c r="O411" s="69" t="str">
        <f>IF(A29stdlife="n/a","n/a",IF(O$3&gt;(A29stdlife+$F411),(Input!$I$171*(1+vanilla2)^0.5)-SUM($I411:N411),(Input!$I$171*(1+vanilla2)^0.5)/A29stdlife))</f>
        <v>n/a</v>
      </c>
      <c r="P411" s="69" t="str">
        <f>IF(A29stdlife="n/a","n/a",IF(P$3&gt;(A29stdlife+$F411),(Input!$I$171*(1+vanilla2)^0.5)-SUM($I411:O411),(Input!$I$171*(1+vanilla2)^0.5)/A29stdlife))</f>
        <v>n/a</v>
      </c>
      <c r="Q411" s="69" t="str">
        <f>IF(A29stdlife="n/a","n/a",IF(Q$3&gt;(A29stdlife+$F411),(Input!$I$171*(1+vanilla2)^0.5)-SUM($I411:P411),(Input!$I$171*(1+vanilla2)^0.5)/A29stdlife))</f>
        <v>n/a</v>
      </c>
      <c r="R411" s="69"/>
      <c r="S411" s="104"/>
      <c r="T411" s="104"/>
      <c r="U411" s="104"/>
      <c r="V411" s="104"/>
      <c r="W411" s="104"/>
      <c r="X411" s="104"/>
      <c r="Y411" s="104"/>
      <c r="Z411" s="104"/>
      <c r="AA411" s="104"/>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37"/>
      <c r="F412" s="87">
        <v>3</v>
      </c>
      <c r="G412" s="124"/>
      <c r="H412" s="149"/>
      <c r="I412" s="151"/>
      <c r="J412" s="150"/>
      <c r="K412" s="69" t="str">
        <f>IF(A29stdlife="n/a","n/a",IF(K$3&gt;(A29stdlife+$F412),(Input!$J$171*(1+vanilla3)^0.5)-SUM($J412:J412),(Input!$J$171*(1+vanilla3)^0.5)/A29stdlife))</f>
        <v>n/a</v>
      </c>
      <c r="L412" s="69" t="str">
        <f>IF(A29stdlife="n/a","n/a",IF(L$3&gt;(A29stdlife+$F412),(Input!$J$171*(1+vanilla3)^0.5)-SUM($J412:K412),(Input!$J$171*(1+vanilla3)^0.5)/A29stdlife))</f>
        <v>n/a</v>
      </c>
      <c r="M412" s="69" t="str">
        <f>IF(A29stdlife="n/a","n/a",IF(M$3&gt;(A29stdlife+$F412),(Input!$J$171*(1+vanilla3)^0.5)-SUM($J412:L412),(Input!$J$171*(1+vanilla3)^0.5)/A29stdlife))</f>
        <v>n/a</v>
      </c>
      <c r="N412" s="69" t="str">
        <f>IF(A29stdlife="n/a","n/a",IF(N$3&gt;(A29stdlife+$F412),(Input!$J$171*(1+vanilla3)^0.5)-SUM($J412:M412),(Input!$J$171*(1+vanilla3)^0.5)/A29stdlife))</f>
        <v>n/a</v>
      </c>
      <c r="O412" s="69" t="str">
        <f>IF(A29stdlife="n/a","n/a",IF(O$3&gt;(A29stdlife+$F412),(Input!$J$171*(1+vanilla3)^0.5)-SUM($J412:N412),(Input!$J$171*(1+vanilla3)^0.5)/A29stdlife))</f>
        <v>n/a</v>
      </c>
      <c r="P412" s="69" t="str">
        <f>IF(A29stdlife="n/a","n/a",IF(P$3&gt;(A29stdlife+$F412),(Input!$J$171*(1+vanilla3)^0.5)-SUM($J412:O412),(Input!$J$171*(1+vanilla3)^0.5)/A29stdlife))</f>
        <v>n/a</v>
      </c>
      <c r="Q412" s="69" t="str">
        <f>IF(A29stdlife="n/a","n/a",IF(Q$3&gt;(A29stdlife+$F412),(Input!$J$171*(1+vanilla3)^0.5)-SUM($J412:P412),(Input!$J$171*(1+vanilla3)^0.5)/A29stdlife))</f>
        <v>n/a</v>
      </c>
      <c r="R412" s="69"/>
      <c r="S412" s="104"/>
      <c r="T412" s="104"/>
      <c r="U412" s="104"/>
      <c r="V412" s="104"/>
      <c r="W412" s="104"/>
      <c r="X412" s="104"/>
      <c r="Y412" s="104"/>
      <c r="Z412" s="104"/>
      <c r="AA412" s="104"/>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537"/>
      <c r="F413" s="87">
        <v>4</v>
      </c>
      <c r="G413" s="124"/>
      <c r="H413" s="149"/>
      <c r="I413" s="151"/>
      <c r="J413" s="151"/>
      <c r="K413" s="150"/>
      <c r="L413" s="69" t="str">
        <f>IF(A29stdlife="n/a","n/a",IF(L$3&gt;(A29stdlife+$F413),(Input!$K$171*(1+vanilla4)^0.5)-SUM($K413:K413),(Input!$K$171*(1+vanilla4)^0.5)/A29stdlife))</f>
        <v>n/a</v>
      </c>
      <c r="M413" s="69" t="str">
        <f>IF(A29stdlife="n/a","n/a",IF(M$3&gt;(A29stdlife+$F413),(Input!$K$171*(1+vanilla4)^0.5)-SUM($K413:L413),(Input!$K$171*(1+vanilla4)^0.5)/A29stdlife))</f>
        <v>n/a</v>
      </c>
      <c r="N413" s="69" t="str">
        <f>IF(A29stdlife="n/a","n/a",IF(N$3&gt;(A29stdlife+$F413),(Input!$K$171*(1+vanilla4)^0.5)-SUM($K413:M413),(Input!$K$171*(1+vanilla4)^0.5)/A29stdlife))</f>
        <v>n/a</v>
      </c>
      <c r="O413" s="69" t="str">
        <f>IF(A29stdlife="n/a","n/a",IF(O$3&gt;(A29stdlife+$F413),(Input!$K$171*(1+vanilla4)^0.5)-SUM($K413:N413),(Input!$K$171*(1+vanilla4)^0.5)/A29stdlife))</f>
        <v>n/a</v>
      </c>
      <c r="P413" s="69" t="str">
        <f>IF(A29stdlife="n/a","n/a",IF(P$3&gt;(A29stdlife+$F413),(Input!$K$171*(1+vanilla4)^0.5)-SUM($K413:O413),(Input!$K$171*(1+vanilla4)^0.5)/A29stdlife))</f>
        <v>n/a</v>
      </c>
      <c r="Q413" s="69" t="str">
        <f>IF(A29stdlife="n/a","n/a",IF(Q$3&gt;(A29stdlife+$F413),(Input!$K$171*(1+vanilla4)^0.5)-SUM($K413:P413),(Input!$K$171*(1+vanilla4)^0.5)/A29stdlife))</f>
        <v>n/a</v>
      </c>
      <c r="R413" s="69"/>
      <c r="S413" s="104"/>
      <c r="T413" s="104"/>
      <c r="U413" s="104"/>
      <c r="V413" s="104"/>
      <c r="W413" s="104"/>
      <c r="X413" s="104"/>
      <c r="Y413" s="104"/>
      <c r="Z413" s="104"/>
      <c r="AA413" s="104"/>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537"/>
      <c r="F414" s="87">
        <v>5</v>
      </c>
      <c r="G414" s="27"/>
      <c r="H414" s="149"/>
      <c r="I414" s="151"/>
      <c r="J414" s="151"/>
      <c r="K414" s="151"/>
      <c r="L414" s="150"/>
      <c r="M414" s="69" t="str">
        <f>IF(A29stdlife="n/a","n/a",IF(M$3&gt;(A29stdlife+$F414),(Input!$L$171*(1+vanilla5)^0.5)-SUM($L414:L414),(Input!$L$171*(1+vanilla5)^0.5)/A29stdlife))</f>
        <v>n/a</v>
      </c>
      <c r="N414" s="69" t="str">
        <f>IF(A29stdlife="n/a","n/a",IF(N$3&gt;(A29stdlife+$F414),(Input!$L$171*(1+vanilla5)^0.5)-SUM($L414:M414),(Input!$L$171*(1+vanilla5)^0.5)/A29stdlife))</f>
        <v>n/a</v>
      </c>
      <c r="O414" s="69" t="str">
        <f>IF(A29stdlife="n/a","n/a",IF(O$3&gt;(A29stdlife+$F414),(Input!$L$171*(1+vanilla5)^0.5)-SUM($L414:N414),(Input!$L$171*(1+vanilla5)^0.5)/A29stdlife))</f>
        <v>n/a</v>
      </c>
      <c r="P414" s="69" t="str">
        <f>IF(A29stdlife="n/a","n/a",IF(P$3&gt;(A29stdlife+$F414),(Input!$L$171*(1+vanilla5)^0.5)-SUM($L414:O414),(Input!$L$171*(1+vanilla5)^0.5)/A29stdlife))</f>
        <v>n/a</v>
      </c>
      <c r="Q414" s="69" t="str">
        <f>IF(A29stdlife="n/a","n/a",IF(Q$3&gt;(A29stdlife+$F414),(Input!$L$171*(1+vanilla5)^0.5)-SUM($L414:P414),(Input!$L$171*(1+vanilla5)^0.5)/A29stdlife))</f>
        <v>n/a</v>
      </c>
      <c r="R414" s="69"/>
      <c r="S414" s="104"/>
      <c r="T414" s="104"/>
      <c r="U414" s="104"/>
      <c r="V414" s="104"/>
      <c r="W414" s="104"/>
      <c r="X414" s="104"/>
      <c r="Y414" s="104"/>
      <c r="Z414" s="104"/>
      <c r="AA414" s="104"/>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537"/>
      <c r="F415" s="87">
        <v>6</v>
      </c>
      <c r="G415" s="27"/>
      <c r="H415" s="149"/>
      <c r="I415" s="151"/>
      <c r="J415" s="151"/>
      <c r="K415" s="151"/>
      <c r="L415" s="151"/>
      <c r="M415" s="150"/>
      <c r="N415" s="69" t="str">
        <f>IF(A29stdlife="n/a","n/a",IF(N$3&gt;(A29stdlife+$F415),(Input!$M$171*(1+vanilla6)^0.5)-SUM($M415:M415),(Input!$M$171*(1+vanilla6)^0.5)/A29stdlife))</f>
        <v>n/a</v>
      </c>
      <c r="O415" s="69" t="str">
        <f>IF(A29stdlife="n/a","n/a",IF(O$3&gt;(A29stdlife+$F415),(Input!$M$171*(1+vanilla6)^0.5)-SUM($M415:N415),(Input!$M$171*(1+vanilla6)^0.5)/A29stdlife))</f>
        <v>n/a</v>
      </c>
      <c r="P415" s="69" t="str">
        <f>IF(A29stdlife="n/a","n/a",IF(P$3&gt;(A29stdlife+$F415),(Input!$M$171*(1+vanilla6)^0.5)-SUM($M415:O415),(Input!$M$171*(1+vanilla6)^0.5)/A29stdlife))</f>
        <v>n/a</v>
      </c>
      <c r="Q415" s="69" t="str">
        <f>IF(A29stdlife="n/a","n/a",IF(Q$3&gt;(A29stdlife+$F415),(Input!$M$171*(1+vanilla6)^0.5)-SUM($M415:P415),(Input!$M$171*(1+vanilla6)^0.5)/A29stdlife))</f>
        <v>n/a</v>
      </c>
      <c r="R415" s="69"/>
      <c r="S415" s="104"/>
      <c r="T415" s="104"/>
      <c r="U415" s="104"/>
      <c r="V415" s="104"/>
      <c r="W415" s="104"/>
      <c r="X415" s="104"/>
      <c r="Y415" s="104"/>
      <c r="Z415" s="104"/>
      <c r="AA415" s="104"/>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37"/>
      <c r="F416" s="87">
        <v>7</v>
      </c>
      <c r="G416" s="27"/>
      <c r="H416" s="149"/>
      <c r="I416" s="151"/>
      <c r="J416" s="151"/>
      <c r="K416" s="151"/>
      <c r="L416" s="151"/>
      <c r="M416" s="151"/>
      <c r="N416" s="150"/>
      <c r="O416" s="69" t="str">
        <f>IF(A29stdlife="n/a","n/a",IF(O$3&gt;(A29stdlife+$F416),(Input!N$171*(1+vanilla7)^0.5)-SUM($N416:N416),(Input!$N$171*(1+vanilla7)^0.5)/A29stdlife))</f>
        <v>n/a</v>
      </c>
      <c r="P416" s="69" t="str">
        <f>IF(A29stdlife="n/a","n/a",IF(P$3&gt;(A29stdlife+$F416),(Input!O$171*(1+vanilla7)^0.5)-SUM($N416:O416),(Input!$N$171*(1+vanilla7)^0.5)/A29stdlife))</f>
        <v>n/a</v>
      </c>
      <c r="Q416" s="69" t="str">
        <f>IF(A29stdlife="n/a","n/a",IF(Q$3&gt;(A29stdlife+$F416),(Input!P$171*(1+vanilla7)^0.5)-SUM($N416:P416),(Input!$N$171*(1+vanilla7)^0.5)/A29stdlife))</f>
        <v>n/a</v>
      </c>
      <c r="R416" s="69"/>
      <c r="S416" s="104"/>
      <c r="T416" s="104"/>
      <c r="U416" s="104"/>
      <c r="V416" s="104"/>
      <c r="W416" s="104"/>
      <c r="X416" s="104"/>
      <c r="Y416" s="104"/>
      <c r="Z416" s="104"/>
      <c r="AA416" s="104"/>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37"/>
      <c r="F417" s="87">
        <v>8</v>
      </c>
      <c r="G417" s="27"/>
      <c r="H417" s="149"/>
      <c r="I417" s="151"/>
      <c r="J417" s="151"/>
      <c r="K417" s="151"/>
      <c r="L417" s="151"/>
      <c r="M417" s="151"/>
      <c r="N417" s="151"/>
      <c r="O417" s="150"/>
      <c r="P417" s="69" t="str">
        <f>IF(A29stdlife="n/a","n/a",IF(P$3&gt;(A29stdlife+$F417),(Input!$O$171*(1+vanilla8)^0.5)-SUM($O417:O417),(Input!$O$171*(1+vanilla8)^0.5)/A29stdlife))</f>
        <v>n/a</v>
      </c>
      <c r="Q417" s="69" t="str">
        <f>IF(A29stdlife="n/a","n/a",IF(Q$3&gt;(A29stdlife+$F417),(Input!$O$171*(1+vanilla8)^0.5)-SUM($O417:P417),(Input!$O$171*(1+vanilla8)^0.5)/A29stdlife))</f>
        <v>n/a</v>
      </c>
      <c r="R417" s="69"/>
      <c r="S417" s="104"/>
      <c r="T417" s="104"/>
      <c r="U417" s="104"/>
      <c r="V417" s="104"/>
      <c r="W417" s="104"/>
      <c r="X417" s="104"/>
      <c r="Y417" s="104"/>
      <c r="Z417" s="104"/>
      <c r="AA417" s="104"/>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37"/>
      <c r="F418" s="87">
        <v>9</v>
      </c>
      <c r="G418" s="27"/>
      <c r="H418" s="149"/>
      <c r="I418" s="151"/>
      <c r="J418" s="151"/>
      <c r="K418" s="151"/>
      <c r="L418" s="151"/>
      <c r="M418" s="151"/>
      <c r="N418" s="151"/>
      <c r="O418" s="151"/>
      <c r="P418" s="150"/>
      <c r="Q418" s="69" t="str">
        <f>IF(A29stdlife="n/a","n/a",IF(Q$3&gt;(A29stdlife+$F418),(Input!$P$171*(1+vanilla9)^0.5)-SUM($P418:P418),(Input!$P$171*(1+vanilla9)^0.5)/A29stdlife))</f>
        <v>n/a</v>
      </c>
      <c r="R418" s="69"/>
      <c r="S418" s="104"/>
      <c r="T418" s="104"/>
      <c r="U418" s="104"/>
      <c r="V418" s="104"/>
      <c r="W418" s="104"/>
      <c r="X418" s="104"/>
      <c r="Y418" s="104"/>
      <c r="Z418" s="104"/>
      <c r="AA418" s="104"/>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37"/>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8"/>
      <c r="H421" s="68" t="str">
        <f>IF(H$3&gt;A30remlife,A30value-SUM($G421:G421),IF(A30remlife="N/A","n/a",A30value/A30remlife))</f>
        <v>n/a</v>
      </c>
      <c r="I421" s="68" t="str">
        <f>IF(I$3&gt;A30remlife,A30value-SUM($G421:H421),IF(A30remlife="N/A","n/a",A30value/A30remlife))</f>
        <v>n/a</v>
      </c>
      <c r="J421" s="68" t="str">
        <f>IF(J$3&gt;A30remlife,A30value-SUM($G421:I421),IF(A30remlife="N/A","n/a",A30value/A30remlife))</f>
        <v>n/a</v>
      </c>
      <c r="K421" s="68" t="str">
        <f>IF(K$3&gt;A30remlife,A30value-SUM($G421:J421),IF(A30remlife="N/A","n/a",A30value/A30remlife))</f>
        <v>n/a</v>
      </c>
      <c r="L421" s="68" t="str">
        <f>IF(L$3&gt;A30remlife,A30value-SUM($G421:K421),IF(A30remlife="N/A","n/a",A30value/A30remlife))</f>
        <v>n/a</v>
      </c>
      <c r="M421" s="68" t="str">
        <f>IF(M$3&gt;A30remlife,A30value-SUM($G421:L421),IF(A30remlife="N/A","n/a",A30value/A30remlife))</f>
        <v>n/a</v>
      </c>
      <c r="N421" s="68" t="str">
        <f>IF(N$3&gt;A30remlife,A30value-SUM($G421:M421),IF(A30remlife="N/A","n/a",A30value/A30remlife))</f>
        <v>n/a</v>
      </c>
      <c r="O421" s="68" t="str">
        <f>IF(O$3&gt;A30remlife,A30value-SUM($G421:N421),IF(A30remlife="N/A","n/a",A30value/A30remlife))</f>
        <v>n/a</v>
      </c>
      <c r="P421" s="68" t="str">
        <f>IF(P$3&gt;A30remlife,A30value-SUM($G421:O421),IF(A30remlife="N/A","n/a",A30value/A30remlife))</f>
        <v>n/a</v>
      </c>
      <c r="Q421" s="68" t="str">
        <f>IF(Q$3&gt;A30remlife,A30value-SUM($G421:P421),IF(A30remlife="N/A","n/a",A30value/A30remlife))</f>
        <v>n/a</v>
      </c>
      <c r="R421" s="68"/>
      <c r="S421" s="104"/>
      <c r="T421" s="104"/>
      <c r="U421" s="104"/>
      <c r="V421" s="104"/>
      <c r="W421" s="104"/>
      <c r="X421" s="104"/>
      <c r="Y421" s="104"/>
      <c r="Z421" s="104"/>
      <c r="AA421" s="104"/>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536" t="s">
        <v>86</v>
      </c>
      <c r="F422" s="87">
        <v>0</v>
      </c>
      <c r="G422" s="124"/>
      <c r="H422" s="69"/>
      <c r="I422" s="69"/>
      <c r="J422" s="69"/>
      <c r="K422" s="69"/>
      <c r="L422" s="69"/>
      <c r="M422" s="166"/>
      <c r="N422" s="113"/>
      <c r="O422" s="69"/>
      <c r="P422" s="69"/>
      <c r="Q422" s="69"/>
      <c r="R422" s="69"/>
      <c r="S422" s="104"/>
      <c r="T422" s="104"/>
      <c r="U422" s="104"/>
      <c r="V422" s="104"/>
      <c r="W422" s="104"/>
      <c r="X422" s="104"/>
      <c r="Y422" s="104"/>
      <c r="Z422" s="104"/>
      <c r="AA422" s="104"/>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37"/>
      <c r="F423" s="87">
        <v>1</v>
      </c>
      <c r="G423" s="124"/>
      <c r="H423" s="148"/>
      <c r="I423" s="69" t="str">
        <f>IF(A30stdlife="n/a","n/a",IF(I$3&gt;(A30stdlife+$F423),(Input!$H$172*(1+vanilla1)^0.5)-SUM($H423:H423),(Input!$H$172*(1+vanilla1)^0.5)/A30stdlife))</f>
        <v>n/a</v>
      </c>
      <c r="J423" s="69" t="str">
        <f>IF(A30stdlife="n/a","n/a",IF(J$3&gt;(A30stdlife+$F423),(Input!$H$172*(1+vanilla1)^0.5)-SUM($H423:I423),(Input!$H$172*(1+vanilla1)^0.5)/A30stdlife))</f>
        <v>n/a</v>
      </c>
      <c r="K423" s="69" t="str">
        <f>IF(A30stdlife="n/a","n/a",IF(K$3&gt;(A30stdlife+$F423),(Input!$H$172*(1+vanilla1)^0.5)-SUM($H423:J423),(Input!$H$172*(1+vanilla1)^0.5)/A30stdlife))</f>
        <v>n/a</v>
      </c>
      <c r="L423" s="69" t="str">
        <f>IF(A30stdlife="n/a","n/a",IF(L$3&gt;(A30stdlife+$F423),(Input!$H$172*(1+vanilla1)^0.5)-SUM($H423:K423),(Input!$H$172*(1+vanilla1)^0.5)/A30stdlife))</f>
        <v>n/a</v>
      </c>
      <c r="M423" s="69" t="str">
        <f>IF(A30stdlife="n/a","n/a",IF(M$3&gt;(A30stdlife+$F423),(Input!$H$172*(1+vanilla1)^0.5)-SUM($H423:L423),(Input!$H$172*(1+vanilla1)^0.5)/A30stdlife))</f>
        <v>n/a</v>
      </c>
      <c r="N423" s="69" t="str">
        <f>IF(A30stdlife="n/a","n/a",IF(N$3&gt;(A30stdlife+$F423),(Input!$H$172*(1+vanilla1)^0.5)-SUM($H423:M423),(Input!$H$172*(1+vanilla1)^0.5)/A30stdlife))</f>
        <v>n/a</v>
      </c>
      <c r="O423" s="69" t="str">
        <f>IF(A30stdlife="n/a","n/a",IF(O$3&gt;(A30stdlife+$F423),(Input!$H$172*(1+vanilla1)^0.5)-SUM($H423:N423),(Input!$H$172*(1+vanilla1)^0.5)/A30stdlife))</f>
        <v>n/a</v>
      </c>
      <c r="P423" s="69" t="str">
        <f>IF(A30stdlife="n/a","n/a",IF(P$3&gt;(A30stdlife+$F423),(Input!$H$172*(1+vanilla1)^0.5)-SUM($H423:O423),(Input!$H$172*(1+vanilla1)^0.5)/A30stdlife))</f>
        <v>n/a</v>
      </c>
      <c r="Q423" s="69" t="str">
        <f>IF(A30stdlife="n/a","n/a",IF(Q$3&gt;(A30stdlife+$F423),(Input!$H$172*(1+vanilla1)^0.5)-SUM($H423:P423),(Input!$H$172*(1+vanilla1)^0.5)/A30stdlife))</f>
        <v>n/a</v>
      </c>
      <c r="R423" s="69"/>
      <c r="S423" s="104"/>
      <c r="T423" s="104"/>
      <c r="U423" s="104"/>
      <c r="V423" s="104"/>
      <c r="W423" s="104"/>
      <c r="X423" s="104"/>
      <c r="Y423" s="104"/>
      <c r="Z423" s="104"/>
      <c r="AA423" s="104"/>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37"/>
      <c r="F424" s="87">
        <v>2</v>
      </c>
      <c r="G424" s="124"/>
      <c r="H424" s="149"/>
      <c r="I424" s="150"/>
      <c r="J424" s="69" t="str">
        <f>IF(A30stdlife="n/a","n/a",IF(J$3&gt;(A30stdlife+$F424),(Input!$I$172*(1+vanilla2)^0.5)-SUM($I424:I424),(Input!$I$172*(1+vanilla2)^0.5)/A30stdlife))</f>
        <v>n/a</v>
      </c>
      <c r="K424" s="69" t="str">
        <f>IF(A30stdlife="n/a","n/a",IF(K$3&gt;(A30stdlife+$F424),(Input!$I$172*(1+vanilla2)^0.5)-SUM($I424:J424),(Input!$I$172*(1+vanilla2)^0.5)/A30stdlife))</f>
        <v>n/a</v>
      </c>
      <c r="L424" s="69" t="str">
        <f>IF(A30stdlife="n/a","n/a",IF(L$3&gt;(A30stdlife+$F424),(Input!$I$172*(1+vanilla2)^0.5)-SUM($I424:K424),(Input!$I$172*(1+vanilla2)^0.5)/A30stdlife))</f>
        <v>n/a</v>
      </c>
      <c r="M424" s="69" t="str">
        <f>IF(A30stdlife="n/a","n/a",IF(M$3&gt;(A30stdlife+$F424),(Input!$I$172*(1+vanilla2)^0.5)-SUM($I424:L424),(Input!$I$172*(1+vanilla2)^0.5)/A30stdlife))</f>
        <v>n/a</v>
      </c>
      <c r="N424" s="69" t="str">
        <f>IF(A30stdlife="n/a","n/a",IF(N$3&gt;(A30stdlife+$F424),(Input!$I$172*(1+vanilla2)^0.5)-SUM($I424:M424),(Input!$I$172*(1+vanilla2)^0.5)/A30stdlife))</f>
        <v>n/a</v>
      </c>
      <c r="O424" s="69" t="str">
        <f>IF(A30stdlife="n/a","n/a",IF(O$3&gt;(A30stdlife+$F424),(Input!$I$172*(1+vanilla2)^0.5)-SUM($I424:N424),(Input!$I$172*(1+vanilla2)^0.5)/A30stdlife))</f>
        <v>n/a</v>
      </c>
      <c r="P424" s="69" t="str">
        <f>IF(A30stdlife="n/a","n/a",IF(P$3&gt;(A30stdlife+$F424),(Input!$I$172*(1+vanilla2)^0.5)-SUM($I424:O424),(Input!$I$172*(1+vanilla2)^0.5)/A30stdlife))</f>
        <v>n/a</v>
      </c>
      <c r="Q424" s="69" t="str">
        <f>IF(A30stdlife="n/a","n/a",IF(Q$3&gt;(A30stdlife+$F424),(Input!$I$172*(1+vanilla2)^0.5)-SUM($I424:P424),(Input!$I$172*(1+vanilla2)^0.5)/A30stdlife))</f>
        <v>n/a</v>
      </c>
      <c r="R424" s="69"/>
      <c r="S424" s="104"/>
      <c r="T424" s="104"/>
      <c r="U424" s="104"/>
      <c r="V424" s="104"/>
      <c r="W424" s="104"/>
      <c r="X424" s="104"/>
      <c r="Y424" s="104"/>
      <c r="Z424" s="104"/>
      <c r="AA424" s="104"/>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37"/>
      <c r="F425" s="87">
        <v>3</v>
      </c>
      <c r="G425" s="124"/>
      <c r="H425" s="149"/>
      <c r="I425" s="151"/>
      <c r="J425" s="150"/>
      <c r="K425" s="69" t="str">
        <f>IF(A30stdlife="n/a","n/a",IF(K$3&gt;(A30stdlife+$F425),(Input!$J$172*(1+vanilla3)^0.5)-SUM($J425:J425),(Input!$J$172*(1+vanilla3)^0.5)/A30stdlife))</f>
        <v>n/a</v>
      </c>
      <c r="L425" s="69" t="str">
        <f>IF(A30stdlife="n/a","n/a",IF(L$3&gt;(A30stdlife+$F425),(Input!$J$172*(1+vanilla3)^0.5)-SUM($J425:K425),(Input!$J$172*(1+vanilla3)^0.5)/A30stdlife))</f>
        <v>n/a</v>
      </c>
      <c r="M425" s="69" t="str">
        <f>IF(A30stdlife="n/a","n/a",IF(M$3&gt;(A30stdlife+$F425),(Input!$J$172*(1+vanilla3)^0.5)-SUM($J425:L425),(Input!$J$172*(1+vanilla3)^0.5)/A30stdlife))</f>
        <v>n/a</v>
      </c>
      <c r="N425" s="69" t="str">
        <f>IF(A30stdlife="n/a","n/a",IF(N$3&gt;(A30stdlife+$F425),(Input!$J$172*(1+vanilla3)^0.5)-SUM($J425:M425),(Input!$J$172*(1+vanilla3)^0.5)/A30stdlife))</f>
        <v>n/a</v>
      </c>
      <c r="O425" s="69" t="str">
        <f>IF(A30stdlife="n/a","n/a",IF(O$3&gt;(A30stdlife+$F425),(Input!$J$172*(1+vanilla3)^0.5)-SUM($J425:N425),(Input!$J$172*(1+vanilla3)^0.5)/A30stdlife))</f>
        <v>n/a</v>
      </c>
      <c r="P425" s="69" t="str">
        <f>IF(A30stdlife="n/a","n/a",IF(P$3&gt;(A30stdlife+$F425),(Input!$J$172*(1+vanilla3)^0.5)-SUM($J425:O425),(Input!$J$172*(1+vanilla3)^0.5)/A30stdlife))</f>
        <v>n/a</v>
      </c>
      <c r="Q425" s="69" t="str">
        <f>IF(A30stdlife="n/a","n/a",IF(Q$3&gt;(A30stdlife+$F425),(Input!$J$172*(1+vanilla3)^0.5)-SUM($J425:P425),(Input!$J$172*(1+vanilla3)^0.5)/A30stdlife))</f>
        <v>n/a</v>
      </c>
      <c r="R425" s="69"/>
      <c r="S425" s="104"/>
      <c r="T425" s="104"/>
      <c r="U425" s="104"/>
      <c r="V425" s="104"/>
      <c r="W425" s="104"/>
      <c r="X425" s="104"/>
      <c r="Y425" s="104"/>
      <c r="Z425" s="104"/>
      <c r="AA425" s="104"/>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537"/>
      <c r="F426" s="87">
        <v>4</v>
      </c>
      <c r="G426" s="124"/>
      <c r="H426" s="149"/>
      <c r="I426" s="151"/>
      <c r="J426" s="151"/>
      <c r="K426" s="150"/>
      <c r="L426" s="69" t="str">
        <f>IF(A30stdlife="n/a","n/a",IF(L$3&gt;(A30stdlife+$F426),(Input!$K$172*(1+vanilla4)^0.5)-SUM($K426:K426),(Input!$K$172*(1+vanilla4)^0.5)/A30stdlife))</f>
        <v>n/a</v>
      </c>
      <c r="M426" s="69" t="str">
        <f>IF(A30stdlife="n/a","n/a",IF(M$3&gt;(A30stdlife+$F426),(Input!$K$172*(1+vanilla4)^0.5)-SUM($K426:L426),(Input!$K$172*(1+vanilla4)^0.5)/A30stdlife))</f>
        <v>n/a</v>
      </c>
      <c r="N426" s="69" t="str">
        <f>IF(A30stdlife="n/a","n/a",IF(N$3&gt;(A30stdlife+$F426),(Input!$K$172*(1+vanilla4)^0.5)-SUM($K426:M426),(Input!$K$172*(1+vanilla4)^0.5)/A30stdlife))</f>
        <v>n/a</v>
      </c>
      <c r="O426" s="69" t="str">
        <f>IF(A30stdlife="n/a","n/a",IF(O$3&gt;(A30stdlife+$F426),(Input!$K$172*(1+vanilla4)^0.5)-SUM($K426:N426),(Input!$K$172*(1+vanilla4)^0.5)/A30stdlife))</f>
        <v>n/a</v>
      </c>
      <c r="P426" s="69" t="str">
        <f>IF(A30stdlife="n/a","n/a",IF(P$3&gt;(A30stdlife+$F426),(Input!$K$172*(1+vanilla4)^0.5)-SUM($K426:O426),(Input!$K$172*(1+vanilla4)^0.5)/A30stdlife))</f>
        <v>n/a</v>
      </c>
      <c r="Q426" s="69" t="str">
        <f>IF(A30stdlife="n/a","n/a",IF(Q$3&gt;(A30stdlife+$F426),(Input!$K$172*(1+vanilla4)^0.5)-SUM($K426:P426),(Input!$K$172*(1+vanilla4)^0.5)/A30stdlife))</f>
        <v>n/a</v>
      </c>
      <c r="R426" s="69"/>
      <c r="S426" s="104"/>
      <c r="T426" s="104"/>
      <c r="U426" s="104"/>
      <c r="V426" s="104"/>
      <c r="W426" s="104"/>
      <c r="X426" s="104"/>
      <c r="Y426" s="104"/>
      <c r="Z426" s="104"/>
      <c r="AA426" s="104"/>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537"/>
      <c r="F427" s="87">
        <v>5</v>
      </c>
      <c r="G427" s="27"/>
      <c r="H427" s="149"/>
      <c r="I427" s="151"/>
      <c r="J427" s="151"/>
      <c r="K427" s="151"/>
      <c r="L427" s="150"/>
      <c r="M427" s="69" t="str">
        <f>IF(A30stdlife="n/a","n/a",IF(M$3&gt;(A30stdlife+$F427),(Input!$L$172*(1+vanilla5)^0.5)-SUM($L427:L427),(Input!$L$172*(1+vanilla5)^0.5)/A30stdlife))</f>
        <v>n/a</v>
      </c>
      <c r="N427" s="69" t="str">
        <f>IF(A30stdlife="n/a","n/a",IF(N$3&gt;(A30stdlife+$F427),(Input!$L$172*(1+vanilla5)^0.5)-SUM($L427:M427),(Input!$L$172*(1+vanilla5)^0.5)/A30stdlife))</f>
        <v>n/a</v>
      </c>
      <c r="O427" s="69" t="str">
        <f>IF(A30stdlife="n/a","n/a",IF(O$3&gt;(A30stdlife+$F427),(Input!$L$172*(1+vanilla5)^0.5)-SUM($L427:N427),(Input!$L$172*(1+vanilla5)^0.5)/A30stdlife))</f>
        <v>n/a</v>
      </c>
      <c r="P427" s="69" t="str">
        <f>IF(A30stdlife="n/a","n/a",IF(P$3&gt;(A30stdlife+$F427),(Input!$L$172*(1+vanilla5)^0.5)-SUM($L427:O427),(Input!$L$172*(1+vanilla5)^0.5)/A30stdlife))</f>
        <v>n/a</v>
      </c>
      <c r="Q427" s="69" t="str">
        <f>IF(A30stdlife="n/a","n/a",IF(Q$3&gt;(A30stdlife+$F427),(Input!$L$172*(1+vanilla5)^0.5)-SUM($L427:P427),(Input!$L$172*(1+vanilla5)^0.5)/A30stdlife))</f>
        <v>n/a</v>
      </c>
      <c r="R427" s="69"/>
      <c r="S427" s="104"/>
      <c r="T427" s="104"/>
      <c r="U427" s="104"/>
      <c r="V427" s="104"/>
      <c r="W427" s="104"/>
      <c r="X427" s="104"/>
      <c r="Y427" s="104"/>
      <c r="Z427" s="104"/>
      <c r="AA427" s="104"/>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537"/>
      <c r="F428" s="87">
        <v>6</v>
      </c>
      <c r="G428" s="27"/>
      <c r="H428" s="149"/>
      <c r="I428" s="151"/>
      <c r="J428" s="151"/>
      <c r="K428" s="151"/>
      <c r="L428" s="151"/>
      <c r="M428" s="150"/>
      <c r="N428" s="69" t="str">
        <f>IF(A30stdlife="n/a","n/a",IF(N$3&gt;(A30stdlife+$F428),(Input!$M$172*(1+vanilla6)^0.5)-SUM($M428:M428),(Input!$M$172*(1+vanilla6)^0.5)/A30stdlife))</f>
        <v>n/a</v>
      </c>
      <c r="O428" s="69" t="str">
        <f>IF(A30stdlife="n/a","n/a",IF(O$3&gt;(A30stdlife+$F428),(Input!$M$172*(1+vanilla6)^0.5)-SUM($M428:N428),(Input!$M$172*(1+vanilla6)^0.5)/A30stdlife))</f>
        <v>n/a</v>
      </c>
      <c r="P428" s="69" t="str">
        <f>IF(A30stdlife="n/a","n/a",IF(P$3&gt;(A30stdlife+$F428),(Input!$M$172*(1+vanilla6)^0.5)-SUM($M428:O428),(Input!$M$172*(1+vanilla6)^0.5)/A30stdlife))</f>
        <v>n/a</v>
      </c>
      <c r="Q428" s="69" t="str">
        <f>IF(A30stdlife="n/a","n/a",IF(Q$3&gt;(A30stdlife+$F428),(Input!$M$172*(1+vanilla6)^0.5)-SUM($M428:P428),(Input!$M$172*(1+vanilla6)^0.5)/A30stdlife))</f>
        <v>n/a</v>
      </c>
      <c r="R428" s="69"/>
      <c r="S428" s="104"/>
      <c r="T428" s="104"/>
      <c r="U428" s="104"/>
      <c r="V428" s="104"/>
      <c r="W428" s="104"/>
      <c r="X428" s="104"/>
      <c r="Y428" s="104"/>
      <c r="Z428" s="104"/>
      <c r="AA428" s="104"/>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37"/>
      <c r="F429" s="87">
        <v>7</v>
      </c>
      <c r="G429" s="27"/>
      <c r="H429" s="149"/>
      <c r="I429" s="151"/>
      <c r="J429" s="151"/>
      <c r="K429" s="151"/>
      <c r="L429" s="151"/>
      <c r="M429" s="151"/>
      <c r="N429" s="150"/>
      <c r="O429" s="69" t="str">
        <f>IF(A30stdlife="n/a","n/a",IF(O$3&gt;(A30stdlife+$F429),(Input!N$172*(1+vanilla7)^0.5)-SUM($N429:N429),(Input!$N$172*(1+vanilla7)^0.5)/A30stdlife))</f>
        <v>n/a</v>
      </c>
      <c r="P429" s="69" t="str">
        <f>IF(A30stdlife="n/a","n/a",IF(P$3&gt;(A30stdlife+$F429),(Input!O$172*(1+vanilla7)^0.5)-SUM($N429:O429),(Input!$N$172*(1+vanilla7)^0.5)/A30stdlife))</f>
        <v>n/a</v>
      </c>
      <c r="Q429" s="69" t="str">
        <f>IF(A30stdlife="n/a","n/a",IF(Q$3&gt;(A30stdlife+$F429),(Input!P$172*(1+vanilla7)^0.5)-SUM($N429:P429),(Input!$N$172*(1+vanilla7)^0.5)/A30stdlife))</f>
        <v>n/a</v>
      </c>
      <c r="R429" s="69"/>
      <c r="S429" s="104"/>
      <c r="T429" s="104"/>
      <c r="U429" s="104"/>
      <c r="V429" s="104"/>
      <c r="W429" s="104"/>
      <c r="X429" s="104"/>
      <c r="Y429" s="104"/>
      <c r="Z429" s="104"/>
      <c r="AA429" s="104"/>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37"/>
      <c r="F430" s="87">
        <v>8</v>
      </c>
      <c r="G430" s="27"/>
      <c r="H430" s="149"/>
      <c r="I430" s="151"/>
      <c r="J430" s="151"/>
      <c r="K430" s="151"/>
      <c r="L430" s="151"/>
      <c r="M430" s="151"/>
      <c r="N430" s="151"/>
      <c r="O430" s="150"/>
      <c r="P430" s="69" t="str">
        <f>IF(A30stdlife="n/a","n/a",IF(P$3&gt;(A30stdlife+$F430),(Input!$O$172*(1+vanilla8)^0.5)-SUM($O430:O430),(Input!$O$172*(1+vanilla8)^0.5)/A30stdlife))</f>
        <v>n/a</v>
      </c>
      <c r="Q430" s="69" t="str">
        <f>IF(A30stdlife="n/a","n/a",IF(Q$3&gt;(A30stdlife+$F430),(Input!$O$172*(1+vanilla8)^0.5)-SUM($O430:P430),(Input!$O$172*(1+vanilla8)^0.5)/A30stdlife))</f>
        <v>n/a</v>
      </c>
      <c r="R430" s="69"/>
      <c r="S430" s="104"/>
      <c r="T430" s="104"/>
      <c r="U430" s="104"/>
      <c r="V430" s="104"/>
      <c r="W430" s="104"/>
      <c r="X430" s="104"/>
      <c r="Y430" s="104"/>
      <c r="Z430" s="104"/>
      <c r="AA430" s="104"/>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37"/>
      <c r="F431" s="87">
        <v>9</v>
      </c>
      <c r="G431" s="27"/>
      <c r="H431" s="149"/>
      <c r="I431" s="151"/>
      <c r="J431" s="151"/>
      <c r="K431" s="151"/>
      <c r="L431" s="151"/>
      <c r="M431" s="151"/>
      <c r="N431" s="151"/>
      <c r="O431" s="151"/>
      <c r="P431" s="150"/>
      <c r="Q431" s="69" t="str">
        <f>IF(A30stdlife="n/a","n/a",IF(Q$3&gt;(A30stdlife+$F431),(Input!$P$172*(1+vanilla9)^0.5)-SUM($P431:P431),(Input!$P$172*(1+vanilla9)^0.5)/A30stdlife))</f>
        <v>n/a</v>
      </c>
      <c r="R431" s="69"/>
      <c r="S431" s="104"/>
      <c r="T431" s="104"/>
      <c r="U431" s="104"/>
      <c r="V431" s="104"/>
      <c r="W431" s="104"/>
      <c r="X431" s="104"/>
      <c r="Y431" s="104"/>
      <c r="Z431" s="104"/>
      <c r="AA431" s="104"/>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37"/>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225"/>
      <c r="AZ433" s="225"/>
      <c r="BA433" s="225"/>
      <c r="BB433" s="225"/>
      <c r="BC433" s="22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107"/>
      <c r="BE435" s="107"/>
      <c r="BF435" s="107"/>
      <c r="BG435" s="107"/>
      <c r="BH435" s="107"/>
      <c r="BI435" s="107"/>
      <c r="BJ435" s="107"/>
      <c r="BK435" s="12"/>
      <c r="BL435" s="12"/>
    </row>
    <row r="436" spans="1:256">
      <c r="A436" s="9"/>
      <c r="B436" s="12"/>
      <c r="C436" s="17"/>
      <c r="D436" s="12"/>
      <c r="E436" s="12"/>
      <c r="F436" s="12"/>
      <c r="G436" s="115"/>
      <c r="H436" s="121"/>
      <c r="I436" s="121"/>
      <c r="J436" s="121"/>
      <c r="K436" s="121"/>
      <c r="L436" s="121"/>
      <c r="M436" s="121"/>
      <c r="N436" s="107"/>
      <c r="O436" s="107"/>
      <c r="P436" s="107"/>
      <c r="Q436" s="107"/>
      <c r="R436" s="107"/>
      <c r="S436" s="107"/>
      <c r="T436" s="107"/>
      <c r="U436" s="107"/>
      <c r="V436" s="107"/>
      <c r="W436" s="107"/>
      <c r="X436" s="107"/>
      <c r="Y436" s="107"/>
      <c r="Z436" s="107"/>
      <c r="AA436" s="107"/>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107"/>
      <c r="BE436" s="107"/>
      <c r="BF436" s="107"/>
      <c r="BG436" s="107"/>
      <c r="BH436" s="107"/>
      <c r="BI436" s="107"/>
      <c r="BJ436" s="107"/>
      <c r="BK436" s="12"/>
      <c r="BL436" s="12"/>
    </row>
    <row r="437" spans="1:256">
      <c r="A437" s="9"/>
      <c r="B437" s="9"/>
      <c r="C437" s="46" t="s">
        <v>46</v>
      </c>
      <c r="D437" s="9"/>
      <c r="E437" s="9"/>
      <c r="F437" s="9"/>
      <c r="G437" s="199">
        <f>SUM(G438:G467)</f>
        <v>1218.1528952972562</v>
      </c>
      <c r="H437" s="116">
        <f>SUM(H438:H467)</f>
        <v>1287.2501906639984</v>
      </c>
      <c r="I437" s="116">
        <f t="shared" ref="I437:R437" si="4">SUM(I438:I467)</f>
        <v>1395.7371267761814</v>
      </c>
      <c r="J437" s="116">
        <f t="shared" si="4"/>
        <v>1488.8151620955082</v>
      </c>
      <c r="K437" s="116">
        <f t="shared" si="4"/>
        <v>1580.9485009278967</v>
      </c>
      <c r="L437" s="116">
        <f t="shared" si="4"/>
        <v>1686.3726360850453</v>
      </c>
      <c r="M437" s="116">
        <f t="shared" si="4"/>
        <v>1820.5056098179405</v>
      </c>
      <c r="N437" s="116">
        <f t="shared" si="4"/>
        <v>0</v>
      </c>
      <c r="O437" s="116">
        <f t="shared" si="4"/>
        <v>0</v>
      </c>
      <c r="P437" s="116">
        <f t="shared" si="4"/>
        <v>0</v>
      </c>
      <c r="Q437" s="116">
        <f t="shared" si="4"/>
        <v>0</v>
      </c>
      <c r="R437" s="116">
        <f t="shared" si="4"/>
        <v>0</v>
      </c>
      <c r="S437" s="100"/>
      <c r="T437" s="100"/>
      <c r="U437" s="100"/>
      <c r="V437" s="100"/>
      <c r="W437" s="100"/>
      <c r="X437" s="100"/>
      <c r="Y437" s="100"/>
      <c r="Z437" s="100"/>
      <c r="AA437" s="100"/>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100"/>
      <c r="BE437" s="100"/>
      <c r="BF437" s="100"/>
      <c r="BG437" s="100"/>
      <c r="BH437" s="100"/>
      <c r="BI437" s="100"/>
      <c r="BJ437" s="100"/>
      <c r="BK437" s="12"/>
      <c r="BL437" s="12"/>
    </row>
    <row r="438" spans="1:256" hidden="1" outlineLevel="1">
      <c r="A438" s="9"/>
      <c r="B438" s="9"/>
      <c r="C438" s="9"/>
      <c r="D438" s="130" t="str">
        <f>Asset1</f>
        <v>Subtransmission</v>
      </c>
      <c r="E438" s="9"/>
      <c r="F438" s="9"/>
      <c r="G438" s="193">
        <f>Input!J7</f>
        <v>139.12392628058146</v>
      </c>
      <c r="H438" s="112">
        <f t="shared" ref="H438:H457" si="5">G438+G470+G502+G534+G566+G598</f>
        <v>151.75163070203752</v>
      </c>
      <c r="I438" s="112">
        <f t="shared" ref="I438:M447" si="6">H438+H470+H502</f>
        <v>235.52367522683883</v>
      </c>
      <c r="J438" s="112">
        <f t="shared" si="6"/>
        <v>264.96445784838465</v>
      </c>
      <c r="K438" s="112">
        <f t="shared" si="6"/>
        <v>321.66866567803237</v>
      </c>
      <c r="L438" s="112">
        <f t="shared" si="6"/>
        <v>346.59583261401747</v>
      </c>
      <c r="M438" s="112">
        <f t="shared" si="6"/>
        <v>387.24760364031687</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hidden="1" outlineLevel="1">
      <c r="A439" s="9"/>
      <c r="B439" s="9"/>
      <c r="C439" s="46"/>
      <c r="D439" s="130" t="str">
        <f>Asset2</f>
        <v>Distribution system assets</v>
      </c>
      <c r="E439" s="9"/>
      <c r="F439" s="9"/>
      <c r="G439" s="193">
        <f>Input!J8</f>
        <v>998.98563357996591</v>
      </c>
      <c r="H439" s="112">
        <f t="shared" si="5"/>
        <v>1063.1849024792018</v>
      </c>
      <c r="I439" s="112">
        <f t="shared" si="6"/>
        <v>1087.9498128657533</v>
      </c>
      <c r="J439" s="112">
        <f t="shared" si="6"/>
        <v>1150.979480000062</v>
      </c>
      <c r="K439" s="112">
        <f t="shared" si="6"/>
        <v>1187.6764266357427</v>
      </c>
      <c r="L439" s="112">
        <f t="shared" si="6"/>
        <v>1264.7971674740124</v>
      </c>
      <c r="M439" s="112">
        <f t="shared" si="6"/>
        <v>1353.08066687225</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101"/>
      <c r="BE439" s="101"/>
      <c r="BF439" s="101"/>
      <c r="BG439" s="101"/>
      <c r="BH439" s="101"/>
      <c r="BI439" s="101"/>
      <c r="BJ439" s="101"/>
      <c r="BK439" s="12"/>
      <c r="BL439" s="12"/>
    </row>
    <row r="440" spans="1:256" hidden="1" outlineLevel="1">
      <c r="A440" s="9"/>
      <c r="B440" s="9"/>
      <c r="C440" s="46"/>
      <c r="D440" s="130" t="str">
        <f>Asset3</f>
        <v>Standard metering</v>
      </c>
      <c r="E440" s="9"/>
      <c r="F440" s="9"/>
      <c r="G440" s="193">
        <f>Input!J9</f>
        <v>37.645963317471988</v>
      </c>
      <c r="H440" s="112">
        <f t="shared" si="5"/>
        <v>34.490079086087626</v>
      </c>
      <c r="I440" s="112">
        <f t="shared" si="6"/>
        <v>29.602380032449279</v>
      </c>
      <c r="J440" s="112">
        <f t="shared" si="6"/>
        <v>24.589304962606761</v>
      </c>
      <c r="K440" s="112">
        <f t="shared" si="6"/>
        <v>18.905681370924356</v>
      </c>
      <c r="L440" s="112">
        <f t="shared" si="6"/>
        <v>13.004378764413488</v>
      </c>
      <c r="M440" s="112">
        <f t="shared" si="6"/>
        <v>6.8489940277447703</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1"/>
      <c r="BE440" s="101"/>
      <c r="BF440" s="101"/>
      <c r="BG440" s="101"/>
      <c r="BH440" s="101"/>
      <c r="BI440" s="101"/>
      <c r="BJ440" s="101"/>
      <c r="BK440" s="12"/>
      <c r="BL440" s="12"/>
    </row>
    <row r="441" spans="1:256" hidden="1" outlineLevel="1">
      <c r="A441" s="9"/>
      <c r="B441" s="9"/>
      <c r="C441" s="46"/>
      <c r="D441" s="130" t="str">
        <f>Asset4</f>
        <v>Public lighting</v>
      </c>
      <c r="E441" s="9"/>
      <c r="F441" s="9"/>
      <c r="G441" s="193">
        <f>Input!J10</f>
        <v>10.597982772220602</v>
      </c>
      <c r="H441" s="112">
        <f t="shared" si="5"/>
        <v>10.143760311615715</v>
      </c>
      <c r="I441" s="112">
        <f t="shared" si="6"/>
        <v>9.6405286571462039</v>
      </c>
      <c r="J441" s="112">
        <f t="shared" si="6"/>
        <v>9.1661941782156742</v>
      </c>
      <c r="K441" s="112">
        <f t="shared" si="6"/>
        <v>8.5199072014595796</v>
      </c>
      <c r="L441" s="112">
        <f t="shared" si="6"/>
        <v>7.8561160284393488</v>
      </c>
      <c r="M441" s="112">
        <f t="shared" si="6"/>
        <v>7.1699288423994672</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1"/>
      <c r="BE441" s="101"/>
      <c r="BF441" s="101"/>
      <c r="BG441" s="101"/>
      <c r="BH441" s="101"/>
      <c r="BI441" s="101"/>
      <c r="BJ441" s="101"/>
      <c r="BK441" s="12"/>
      <c r="BL441" s="12"/>
    </row>
    <row r="442" spans="1:256" hidden="1" outlineLevel="1">
      <c r="A442" s="9"/>
      <c r="B442" s="9"/>
      <c r="C442" s="46"/>
      <c r="D442" s="130" t="str">
        <f>Asset5</f>
        <v>SCADA/Network control</v>
      </c>
      <c r="E442" s="9"/>
      <c r="F442" s="9"/>
      <c r="G442" s="193">
        <f>Input!J11</f>
        <v>15.143111066512242</v>
      </c>
      <c r="H442" s="112">
        <f t="shared" si="5"/>
        <v>15.630895940945866</v>
      </c>
      <c r="I442" s="112">
        <f t="shared" si="6"/>
        <v>14.913589134453598</v>
      </c>
      <c r="J442" s="112">
        <f t="shared" si="6"/>
        <v>16.727807088803853</v>
      </c>
      <c r="K442" s="112">
        <f t="shared" si="6"/>
        <v>17.26640785792085</v>
      </c>
      <c r="L442" s="112">
        <f t="shared" si="6"/>
        <v>17.548055942156129</v>
      </c>
      <c r="M442" s="112">
        <f t="shared" si="6"/>
        <v>17.065445843729712</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1"/>
      <c r="BE442" s="101"/>
      <c r="BF442" s="101"/>
      <c r="BG442" s="101"/>
      <c r="BH442" s="101"/>
      <c r="BI442" s="101"/>
      <c r="BJ442" s="101"/>
      <c r="BK442" s="12"/>
      <c r="BL442" s="12"/>
    </row>
    <row r="443" spans="1:256" hidden="1" outlineLevel="1">
      <c r="A443" s="9"/>
      <c r="B443" s="9"/>
      <c r="C443" s="46"/>
      <c r="D443" s="130" t="str">
        <f>Asset6</f>
        <v>Non-network general assets - IT</v>
      </c>
      <c r="E443" s="9"/>
      <c r="F443" s="9"/>
      <c r="G443" s="193">
        <f>Input!J12</f>
        <v>5.5938828180837197</v>
      </c>
      <c r="H443" s="112">
        <f t="shared" si="5"/>
        <v>7.4416607105815658E-2</v>
      </c>
      <c r="I443" s="112">
        <f t="shared" si="6"/>
        <v>3.7716842033704236</v>
      </c>
      <c r="J443" s="112">
        <f t="shared" si="6"/>
        <v>9.4210742047462563</v>
      </c>
      <c r="K443" s="112">
        <f t="shared" si="6"/>
        <v>13.216559082493671</v>
      </c>
      <c r="L443" s="112">
        <f t="shared" si="6"/>
        <v>19.933969057835689</v>
      </c>
      <c r="M443" s="112">
        <f t="shared" si="6"/>
        <v>32.318826475148384</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1"/>
      <c r="BE443" s="101"/>
      <c r="BF443" s="101"/>
      <c r="BG443" s="101"/>
      <c r="BH443" s="101"/>
      <c r="BI443" s="101"/>
      <c r="BJ443" s="101"/>
      <c r="BK443" s="12"/>
      <c r="BL443" s="12"/>
    </row>
    <row r="444" spans="1:256" hidden="1" outlineLevel="1">
      <c r="A444" s="9"/>
      <c r="B444" s="9"/>
      <c r="C444" s="46"/>
      <c r="D444" s="130" t="str">
        <f>Asset7</f>
        <v>Non-network general assets - Other</v>
      </c>
      <c r="E444" s="9"/>
      <c r="F444" s="9"/>
      <c r="G444" s="193">
        <f>Input!J13</f>
        <v>11.062395462420282</v>
      </c>
      <c r="H444" s="112">
        <f t="shared" si="5"/>
        <v>11.97450553700369</v>
      </c>
      <c r="I444" s="112">
        <f t="shared" si="6"/>
        <v>11.407609901627296</v>
      </c>
      <c r="J444" s="112">
        <f t="shared" si="6"/>
        <v>10.000957466943463</v>
      </c>
      <c r="K444" s="112">
        <f t="shared" si="6"/>
        <v>10.735851031028901</v>
      </c>
      <c r="L444" s="112">
        <f t="shared" si="6"/>
        <v>13.68192127045991</v>
      </c>
      <c r="M444" s="112">
        <f t="shared" si="6"/>
        <v>13.820070069604142</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1"/>
      <c r="BE444" s="101"/>
      <c r="BF444" s="101"/>
      <c r="BG444" s="101"/>
      <c r="BH444" s="101"/>
      <c r="BI444" s="101"/>
      <c r="BJ444" s="101"/>
      <c r="BK444" s="12"/>
      <c r="BL444" s="12"/>
    </row>
    <row r="445" spans="1:256" hidden="1" outlineLevel="1">
      <c r="A445" s="9"/>
      <c r="B445" s="9"/>
      <c r="C445" s="46"/>
      <c r="D445" s="130" t="str">
        <f>Asset8</f>
        <v>VBRC</v>
      </c>
      <c r="E445" s="9"/>
      <c r="F445" s="9"/>
      <c r="G445" s="193">
        <f>Input!J14</f>
        <v>0</v>
      </c>
      <c r="H445" s="112">
        <f t="shared" si="5"/>
        <v>0</v>
      </c>
      <c r="I445" s="112">
        <f t="shared" si="6"/>
        <v>0</v>
      </c>
      <c r="J445" s="112">
        <f t="shared" si="6"/>
        <v>0</v>
      </c>
      <c r="K445" s="112">
        <f t="shared" si="6"/>
        <v>0</v>
      </c>
      <c r="L445" s="112">
        <f t="shared" si="6"/>
        <v>0</v>
      </c>
      <c r="M445" s="112">
        <f t="shared" si="6"/>
        <v>0</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1"/>
      <c r="BE445" s="101"/>
      <c r="BF445" s="101"/>
      <c r="BG445" s="101"/>
      <c r="BH445" s="101"/>
      <c r="BI445" s="101"/>
      <c r="BJ445" s="101"/>
      <c r="BK445" s="12"/>
      <c r="BL445" s="12"/>
    </row>
    <row r="446" spans="1:256" hidden="1" outlineLevel="1">
      <c r="A446" s="9"/>
      <c r="B446" s="9"/>
      <c r="C446" s="46"/>
      <c r="D446" s="130" t="str">
        <f>Asset9</f>
        <v>Equity raising</v>
      </c>
      <c r="E446" s="9"/>
      <c r="F446" s="9"/>
      <c r="G446" s="193">
        <f>Input!J15</f>
        <v>0</v>
      </c>
      <c r="H446" s="112">
        <f t="shared" si="5"/>
        <v>0</v>
      </c>
      <c r="I446" s="112">
        <f t="shared" si="6"/>
        <v>2.9278467545427507</v>
      </c>
      <c r="J446" s="112">
        <f t="shared" si="6"/>
        <v>2.9658863457454236</v>
      </c>
      <c r="K446" s="112">
        <f t="shared" si="6"/>
        <v>2.9590020702944351</v>
      </c>
      <c r="L446" s="112">
        <f t="shared" si="6"/>
        <v>2.955194933710648</v>
      </c>
      <c r="M446" s="112">
        <f t="shared" si="6"/>
        <v>2.9540740467471118</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1"/>
      <c r="BE446" s="101"/>
      <c r="BF446" s="101"/>
      <c r="BG446" s="101"/>
      <c r="BH446" s="101"/>
      <c r="BI446" s="101"/>
      <c r="BJ446" s="101"/>
      <c r="BK446" s="12"/>
      <c r="BL446" s="12"/>
    </row>
    <row r="447" spans="1:256" hidden="1" outlineLevel="1">
      <c r="A447" s="9"/>
      <c r="B447" s="9"/>
      <c r="C447" s="46"/>
      <c r="D447" s="130">
        <f>Asset10</f>
        <v>0</v>
      </c>
      <c r="E447" s="9"/>
      <c r="F447" s="9"/>
      <c r="G447" s="193">
        <f>Input!J16</f>
        <v>0</v>
      </c>
      <c r="H447" s="112">
        <f t="shared" si="5"/>
        <v>0</v>
      </c>
      <c r="I447" s="112">
        <f t="shared" si="6"/>
        <v>0</v>
      </c>
      <c r="J447" s="112">
        <f t="shared" si="6"/>
        <v>0</v>
      </c>
      <c r="K447" s="112">
        <f t="shared" si="6"/>
        <v>0</v>
      </c>
      <c r="L447" s="112">
        <f t="shared" si="6"/>
        <v>0</v>
      </c>
      <c r="M447" s="112">
        <f t="shared" si="6"/>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1"/>
      <c r="BE447" s="101"/>
      <c r="BF447" s="101"/>
      <c r="BG447" s="101"/>
      <c r="BH447" s="101"/>
      <c r="BI447" s="101"/>
      <c r="BJ447" s="101"/>
      <c r="BK447" s="12"/>
      <c r="BL447" s="12"/>
    </row>
    <row r="448" spans="1:256" hidden="1" outlineLevel="1">
      <c r="A448" s="9"/>
      <c r="B448" s="9"/>
      <c r="C448" s="46"/>
      <c r="D448" s="130">
        <f>Asset11</f>
        <v>0</v>
      </c>
      <c r="E448" s="9"/>
      <c r="F448" s="9"/>
      <c r="G448" s="193">
        <f>Input!J17</f>
        <v>0</v>
      </c>
      <c r="H448" s="112">
        <f t="shared" si="5"/>
        <v>0</v>
      </c>
      <c r="I448" s="112">
        <f t="shared" ref="I448:M457" si="7">H448+H480+H512</f>
        <v>0</v>
      </c>
      <c r="J448" s="112">
        <f t="shared" si="7"/>
        <v>0</v>
      </c>
      <c r="K448" s="112">
        <f t="shared" si="7"/>
        <v>0</v>
      </c>
      <c r="L448" s="112">
        <f t="shared" si="7"/>
        <v>0</v>
      </c>
      <c r="M448" s="112">
        <f t="shared" si="7"/>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1"/>
      <c r="BE448" s="101"/>
      <c r="BF448" s="101"/>
      <c r="BG448" s="101"/>
      <c r="BH448" s="101"/>
      <c r="BI448" s="101"/>
      <c r="BJ448" s="101"/>
      <c r="BK448" s="12"/>
      <c r="BL448" s="12"/>
    </row>
    <row r="449" spans="1:64" hidden="1" outlineLevel="1">
      <c r="A449" s="9"/>
      <c r="B449" s="9"/>
      <c r="C449" s="46"/>
      <c r="D449" s="130">
        <f>Asset12</f>
        <v>0</v>
      </c>
      <c r="E449" s="9"/>
      <c r="F449" s="9"/>
      <c r="G449" s="193">
        <f>Input!J18</f>
        <v>0</v>
      </c>
      <c r="H449" s="112">
        <f t="shared" si="5"/>
        <v>0</v>
      </c>
      <c r="I449" s="112">
        <f t="shared" si="7"/>
        <v>0</v>
      </c>
      <c r="J449" s="112">
        <f t="shared" si="7"/>
        <v>0</v>
      </c>
      <c r="K449" s="112">
        <f t="shared" si="7"/>
        <v>0</v>
      </c>
      <c r="L449" s="112">
        <f t="shared" si="7"/>
        <v>0</v>
      </c>
      <c r="M449" s="112">
        <f t="shared" si="7"/>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1"/>
      <c r="BE449" s="101"/>
      <c r="BF449" s="101"/>
      <c r="BG449" s="101"/>
      <c r="BH449" s="101"/>
      <c r="BI449" s="101"/>
      <c r="BJ449" s="101"/>
      <c r="BK449" s="12"/>
      <c r="BL449" s="12"/>
    </row>
    <row r="450" spans="1:64" hidden="1" outlineLevel="1">
      <c r="A450" s="9"/>
      <c r="B450" s="9"/>
      <c r="C450" s="46"/>
      <c r="D450" s="130">
        <f>Asset13</f>
        <v>0</v>
      </c>
      <c r="E450" s="9"/>
      <c r="F450" s="9"/>
      <c r="G450" s="193">
        <f>Input!J19</f>
        <v>0</v>
      </c>
      <c r="H450" s="112">
        <f t="shared" si="5"/>
        <v>0</v>
      </c>
      <c r="I450" s="112">
        <f t="shared" si="7"/>
        <v>0</v>
      </c>
      <c r="J450" s="112">
        <f t="shared" si="7"/>
        <v>0</v>
      </c>
      <c r="K450" s="112">
        <f t="shared" si="7"/>
        <v>0</v>
      </c>
      <c r="L450" s="112">
        <f t="shared" si="7"/>
        <v>0</v>
      </c>
      <c r="M450" s="112">
        <f t="shared" si="7"/>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1"/>
      <c r="BE450" s="101"/>
      <c r="BF450" s="101"/>
      <c r="BG450" s="101"/>
      <c r="BH450" s="101"/>
      <c r="BI450" s="101"/>
      <c r="BJ450" s="101"/>
      <c r="BK450" s="12"/>
      <c r="BL450" s="12"/>
    </row>
    <row r="451" spans="1:64" hidden="1" outlineLevel="1">
      <c r="A451" s="9"/>
      <c r="B451" s="9"/>
      <c r="C451" s="46"/>
      <c r="D451" s="130">
        <f>Asset14</f>
        <v>0</v>
      </c>
      <c r="E451" s="9"/>
      <c r="F451" s="9"/>
      <c r="G451" s="193">
        <f>Input!J20</f>
        <v>0</v>
      </c>
      <c r="H451" s="112">
        <f t="shared" si="5"/>
        <v>0</v>
      </c>
      <c r="I451" s="112">
        <f t="shared" si="7"/>
        <v>0</v>
      </c>
      <c r="J451" s="112">
        <f t="shared" si="7"/>
        <v>0</v>
      </c>
      <c r="K451" s="112">
        <f t="shared" si="7"/>
        <v>0</v>
      </c>
      <c r="L451" s="112">
        <f t="shared" si="7"/>
        <v>0</v>
      </c>
      <c r="M451" s="112">
        <f t="shared" si="7"/>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1"/>
      <c r="BE451" s="101"/>
      <c r="BF451" s="101"/>
      <c r="BG451" s="101"/>
      <c r="BH451" s="101"/>
      <c r="BI451" s="101"/>
      <c r="BJ451" s="101"/>
      <c r="BK451" s="12"/>
      <c r="BL451" s="12"/>
    </row>
    <row r="452" spans="1:64" hidden="1" outlineLevel="1">
      <c r="A452" s="9"/>
      <c r="B452" s="9"/>
      <c r="C452" s="46"/>
      <c r="D452" s="130">
        <f>Asset15</f>
        <v>0</v>
      </c>
      <c r="E452" s="9"/>
      <c r="F452" s="9"/>
      <c r="G452" s="193">
        <f>Input!J21</f>
        <v>0</v>
      </c>
      <c r="H452" s="112">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101"/>
      <c r="BE452" s="101"/>
      <c r="BF452" s="101"/>
      <c r="BG452" s="101"/>
      <c r="BH452" s="101"/>
      <c r="BI452" s="101"/>
      <c r="BJ452" s="101"/>
      <c r="BK452" s="12"/>
      <c r="BL452" s="12"/>
    </row>
    <row r="453" spans="1:64" hidden="1" outlineLevel="1">
      <c r="A453" s="9"/>
      <c r="B453" s="9"/>
      <c r="C453" s="46"/>
      <c r="D453" s="130">
        <f>Asset16</f>
        <v>0</v>
      </c>
      <c r="E453" s="9"/>
      <c r="F453" s="9"/>
      <c r="G453" s="193">
        <f>Input!J22</f>
        <v>0</v>
      </c>
      <c r="H453" s="112">
        <f t="shared" si="5"/>
        <v>0</v>
      </c>
      <c r="I453" s="112">
        <f t="shared" si="7"/>
        <v>0</v>
      </c>
      <c r="J453" s="112">
        <f t="shared" si="7"/>
        <v>0</v>
      </c>
      <c r="K453" s="112">
        <f t="shared" si="7"/>
        <v>0</v>
      </c>
      <c r="L453" s="112">
        <f t="shared" si="7"/>
        <v>0</v>
      </c>
      <c r="M453" s="112">
        <f t="shared" si="7"/>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1"/>
      <c r="BE453" s="101"/>
      <c r="BF453" s="101"/>
      <c r="BG453" s="101"/>
      <c r="BH453" s="101"/>
      <c r="BI453" s="101"/>
      <c r="BJ453" s="101"/>
      <c r="BK453" s="12"/>
      <c r="BL453" s="12"/>
    </row>
    <row r="454" spans="1:64" hidden="1" outlineLevel="1">
      <c r="A454" s="9"/>
      <c r="B454" s="9"/>
      <c r="C454" s="46"/>
      <c r="D454" s="130">
        <f>Asset17</f>
        <v>0</v>
      </c>
      <c r="E454" s="9"/>
      <c r="F454" s="9"/>
      <c r="G454" s="193">
        <f>Input!J23</f>
        <v>0</v>
      </c>
      <c r="H454" s="112">
        <f t="shared" si="5"/>
        <v>0</v>
      </c>
      <c r="I454" s="112">
        <f t="shared" si="7"/>
        <v>0</v>
      </c>
      <c r="J454" s="112">
        <f t="shared" si="7"/>
        <v>0</v>
      </c>
      <c r="K454" s="112">
        <f t="shared" si="7"/>
        <v>0</v>
      </c>
      <c r="L454" s="112">
        <f t="shared" si="7"/>
        <v>0</v>
      </c>
      <c r="M454" s="112">
        <f t="shared" si="7"/>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1"/>
      <c r="BE454" s="101"/>
      <c r="BF454" s="101"/>
      <c r="BG454" s="101"/>
      <c r="BH454" s="101"/>
      <c r="BI454" s="101"/>
      <c r="BJ454" s="101"/>
      <c r="BK454" s="12"/>
      <c r="BL454" s="12"/>
    </row>
    <row r="455" spans="1:64" hidden="1" outlineLevel="1">
      <c r="A455" s="9"/>
      <c r="B455" s="9"/>
      <c r="C455" s="46"/>
      <c r="D455" s="130">
        <f>Asset18</f>
        <v>0</v>
      </c>
      <c r="E455" s="9"/>
      <c r="F455" s="9"/>
      <c r="G455" s="193">
        <f>Input!J24</f>
        <v>0</v>
      </c>
      <c r="H455" s="112">
        <f t="shared" si="5"/>
        <v>0</v>
      </c>
      <c r="I455" s="112">
        <f t="shared" si="7"/>
        <v>0</v>
      </c>
      <c r="J455" s="112">
        <f t="shared" si="7"/>
        <v>0</v>
      </c>
      <c r="K455" s="112">
        <f t="shared" si="7"/>
        <v>0</v>
      </c>
      <c r="L455" s="112">
        <f t="shared" si="7"/>
        <v>0</v>
      </c>
      <c r="M455" s="112">
        <f t="shared" si="7"/>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1"/>
      <c r="BE455" s="101"/>
      <c r="BF455" s="101"/>
      <c r="BG455" s="101"/>
      <c r="BH455" s="101"/>
      <c r="BI455" s="101"/>
      <c r="BJ455" s="101"/>
      <c r="BK455" s="12"/>
      <c r="BL455" s="12"/>
    </row>
    <row r="456" spans="1:64" hidden="1" outlineLevel="1">
      <c r="A456" s="9"/>
      <c r="B456" s="9"/>
      <c r="C456" s="46"/>
      <c r="D456" s="130">
        <f>Asset19</f>
        <v>0</v>
      </c>
      <c r="E456" s="9"/>
      <c r="F456" s="9"/>
      <c r="G456" s="193">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1"/>
      <c r="BE456" s="101"/>
      <c r="BF456" s="101"/>
      <c r="BG456" s="101"/>
      <c r="BH456" s="101"/>
      <c r="BI456" s="101"/>
      <c r="BJ456" s="101"/>
      <c r="BK456" s="12"/>
      <c r="BL456" s="12"/>
    </row>
    <row r="457" spans="1:64" hidden="1" outlineLevel="1">
      <c r="A457" s="9"/>
      <c r="B457" s="9"/>
      <c r="C457" s="46"/>
      <c r="D457" s="130">
        <f>Asset20</f>
        <v>0</v>
      </c>
      <c r="E457" s="9"/>
      <c r="F457" s="9"/>
      <c r="G457" s="193">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1"/>
      <c r="BE457" s="101"/>
      <c r="BF457" s="101"/>
      <c r="BG457" s="101"/>
      <c r="BH457" s="101"/>
      <c r="BI457" s="101"/>
      <c r="BJ457" s="101"/>
      <c r="BK457" s="12"/>
      <c r="BL457" s="12"/>
    </row>
    <row r="458" spans="1:64" hidden="1" outlineLevel="1">
      <c r="A458" s="9"/>
      <c r="B458" s="9"/>
      <c r="C458" s="46"/>
      <c r="D458" s="130">
        <f>Asset21</f>
        <v>0</v>
      </c>
      <c r="E458" s="9"/>
      <c r="F458" s="9"/>
      <c r="G458" s="193">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1"/>
      <c r="BE458" s="101"/>
      <c r="BF458" s="101"/>
      <c r="BG458" s="101"/>
      <c r="BH458" s="101"/>
      <c r="BI458" s="101"/>
      <c r="BJ458" s="101"/>
      <c r="BK458" s="12"/>
      <c r="BL458" s="12"/>
    </row>
    <row r="459" spans="1:64" hidden="1" outlineLevel="1">
      <c r="A459" s="9"/>
      <c r="B459" s="9"/>
      <c r="C459" s="46"/>
      <c r="D459" s="130">
        <f>Asset22</f>
        <v>0</v>
      </c>
      <c r="E459" s="9"/>
      <c r="F459" s="9"/>
      <c r="G459" s="193">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1"/>
      <c r="BE459" s="101"/>
      <c r="BF459" s="101"/>
      <c r="BG459" s="101"/>
      <c r="BH459" s="101"/>
      <c r="BI459" s="101"/>
      <c r="BJ459" s="101"/>
      <c r="BK459" s="12"/>
      <c r="BL459" s="12"/>
    </row>
    <row r="460" spans="1:64" hidden="1" outlineLevel="1">
      <c r="A460" s="9"/>
      <c r="B460" s="9"/>
      <c r="C460" s="46"/>
      <c r="D460" s="130">
        <f>Asset23</f>
        <v>0</v>
      </c>
      <c r="E460" s="9"/>
      <c r="F460" s="9"/>
      <c r="G460" s="193">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1"/>
      <c r="BE460" s="101"/>
      <c r="BF460" s="101"/>
      <c r="BG460" s="101"/>
      <c r="BH460" s="101"/>
      <c r="BI460" s="101"/>
      <c r="BJ460" s="101"/>
      <c r="BK460" s="12"/>
      <c r="BL460" s="12"/>
    </row>
    <row r="461" spans="1:64" hidden="1" outlineLevel="1">
      <c r="A461" s="9"/>
      <c r="B461" s="9"/>
      <c r="C461" s="46"/>
      <c r="D461" s="130">
        <f>Asset24</f>
        <v>0</v>
      </c>
      <c r="E461" s="9"/>
      <c r="F461" s="9"/>
      <c r="G461" s="193">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1"/>
      <c r="BE461" s="101"/>
      <c r="BF461" s="101"/>
      <c r="BG461" s="101"/>
      <c r="BH461" s="101"/>
      <c r="BI461" s="101"/>
      <c r="BJ461" s="101"/>
      <c r="BK461" s="12"/>
      <c r="BL461" s="12"/>
    </row>
    <row r="462" spans="1:64" hidden="1" outlineLevel="1">
      <c r="A462" s="9"/>
      <c r="B462" s="9"/>
      <c r="C462" s="46"/>
      <c r="D462" s="130">
        <f>Asset25</f>
        <v>0</v>
      </c>
      <c r="E462" s="9"/>
      <c r="F462" s="9"/>
      <c r="G462" s="193">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1"/>
      <c r="BE462" s="101"/>
      <c r="BF462" s="101"/>
      <c r="BG462" s="101"/>
      <c r="BH462" s="101"/>
      <c r="BI462" s="101"/>
      <c r="BJ462" s="101"/>
      <c r="BK462" s="12"/>
      <c r="BL462" s="12"/>
    </row>
    <row r="463" spans="1:64" hidden="1" outlineLevel="1">
      <c r="A463" s="9"/>
      <c r="B463" s="9"/>
      <c r="C463" s="46"/>
      <c r="D463" s="130">
        <f>Asset26</f>
        <v>0</v>
      </c>
      <c r="E463" s="9"/>
      <c r="F463" s="9"/>
      <c r="G463" s="193">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1"/>
      <c r="BE463" s="101"/>
      <c r="BF463" s="101"/>
      <c r="BG463" s="101"/>
      <c r="BH463" s="101"/>
      <c r="BI463" s="101"/>
      <c r="BJ463" s="101"/>
      <c r="BK463" s="12"/>
      <c r="BL463" s="12"/>
    </row>
    <row r="464" spans="1:64" hidden="1" outlineLevel="1">
      <c r="A464" s="9"/>
      <c r="B464" s="9"/>
      <c r="C464" s="46"/>
      <c r="D464" s="130">
        <f>Asset27</f>
        <v>0</v>
      </c>
      <c r="E464" s="9"/>
      <c r="F464" s="9"/>
      <c r="G464" s="193">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1"/>
      <c r="BE464" s="101"/>
      <c r="BF464" s="101"/>
      <c r="BG464" s="101"/>
      <c r="BH464" s="101"/>
      <c r="BI464" s="101"/>
      <c r="BJ464" s="101"/>
      <c r="BK464" s="12"/>
      <c r="BL464" s="12"/>
    </row>
    <row r="465" spans="1:64" hidden="1" outlineLevel="1">
      <c r="A465" s="9"/>
      <c r="B465" s="9"/>
      <c r="C465" s="46"/>
      <c r="D465" s="130">
        <f>Asset28</f>
        <v>0</v>
      </c>
      <c r="E465" s="9"/>
      <c r="F465" s="9"/>
      <c r="G465" s="193">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101"/>
      <c r="BE465" s="101"/>
      <c r="BF465" s="101"/>
      <c r="BG465" s="101"/>
      <c r="BH465" s="101"/>
      <c r="BI465" s="101"/>
      <c r="BJ465" s="101"/>
      <c r="BK465" s="12"/>
      <c r="BL465" s="12"/>
    </row>
    <row r="466" spans="1:64" hidden="1" outlineLevel="1">
      <c r="A466" s="9"/>
      <c r="B466" s="9"/>
      <c r="C466" s="46"/>
      <c r="D466" s="130">
        <f>Asset29</f>
        <v>0</v>
      </c>
      <c r="E466" s="9"/>
      <c r="F466" s="9"/>
      <c r="G466" s="193">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101"/>
      <c r="BE466" s="101"/>
      <c r="BF466" s="101"/>
      <c r="BG466" s="101"/>
      <c r="BH466" s="101"/>
      <c r="BI466" s="101"/>
      <c r="BJ466" s="101"/>
      <c r="BK466" s="12"/>
      <c r="BL466" s="12"/>
    </row>
    <row r="467" spans="1:64" hidden="1" outlineLevel="1">
      <c r="A467" s="9"/>
      <c r="B467" s="9"/>
      <c r="C467" s="46"/>
      <c r="D467" s="130">
        <f>Asset30</f>
        <v>0</v>
      </c>
      <c r="E467" s="9"/>
      <c r="F467" s="9"/>
      <c r="G467" s="193">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101"/>
      <c r="BE467" s="101"/>
      <c r="BF467" s="101"/>
      <c r="BG467" s="101"/>
      <c r="BH467" s="101"/>
      <c r="BI467" s="101"/>
      <c r="BJ467" s="101"/>
      <c r="BK467" s="12"/>
      <c r="BL467" s="12"/>
    </row>
    <row r="468" spans="1:64" collapsed="1">
      <c r="A468" s="9"/>
      <c r="B468" s="9"/>
      <c r="C468" s="46"/>
      <c r="D468" s="114"/>
      <c r="E468" s="9"/>
      <c r="F468" s="9"/>
      <c r="G468" s="200"/>
      <c r="H468" s="37"/>
      <c r="I468" s="37"/>
      <c r="J468" s="37"/>
      <c r="K468" s="37"/>
      <c r="L468" s="37"/>
      <c r="M468" s="37"/>
      <c r="N468" s="29"/>
      <c r="O468" s="29"/>
      <c r="P468" s="29"/>
      <c r="Q468" s="29"/>
      <c r="R468" s="29"/>
      <c r="S468" s="101"/>
      <c r="T468" s="101"/>
      <c r="U468" s="101"/>
      <c r="V468" s="101"/>
      <c r="W468" s="101"/>
      <c r="X468" s="101"/>
      <c r="Y468" s="101"/>
      <c r="Z468" s="101"/>
      <c r="AA468" s="101"/>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101"/>
      <c r="BE468" s="101"/>
      <c r="BF468" s="101"/>
      <c r="BG468" s="101"/>
      <c r="BH468" s="101"/>
      <c r="BI468" s="101"/>
      <c r="BJ468" s="101"/>
      <c r="BK468" s="12"/>
      <c r="BL468" s="12"/>
    </row>
    <row r="469" spans="1:64">
      <c r="A469" s="9"/>
      <c r="B469" s="9"/>
      <c r="C469" s="46" t="s">
        <v>36</v>
      </c>
      <c r="D469" s="9"/>
      <c r="E469" s="9"/>
      <c r="F469" s="9"/>
      <c r="G469" s="194">
        <f>SUM(G470:G499)</f>
        <v>125.76363773002549</v>
      </c>
      <c r="H469" s="37">
        <f>SUM(H470:H499)</f>
        <v>140.60621139630044</v>
      </c>
      <c r="I469" s="37">
        <f t="shared" ref="I469:Q469" si="11">SUM(I470:I499)</f>
        <v>117.98095342219121</v>
      </c>
      <c r="J469" s="37">
        <f t="shared" si="11"/>
        <v>141.39968054929858</v>
      </c>
      <c r="K469" s="37">
        <f t="shared" si="11"/>
        <v>156.16307025848849</v>
      </c>
      <c r="L469" s="37">
        <f t="shared" si="11"/>
        <v>187.26717832303365</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101"/>
      <c r="BE469" s="101"/>
      <c r="BF469" s="101"/>
      <c r="BG469" s="101"/>
      <c r="BH469" s="101"/>
      <c r="BI469" s="101"/>
      <c r="BJ469" s="101"/>
      <c r="BK469" s="12"/>
      <c r="BL469" s="12"/>
    </row>
    <row r="470" spans="1:64" hidden="1" outlineLevel="1">
      <c r="A470" s="9"/>
      <c r="B470" s="9"/>
      <c r="C470" s="46"/>
      <c r="D470" s="130" t="str">
        <f>Asset1</f>
        <v>Subtransmission</v>
      </c>
      <c r="E470" s="9"/>
      <c r="F470" s="9"/>
      <c r="G470" s="201">
        <f>'Adjustment for previous period'!G366</f>
        <v>21.188638065017898</v>
      </c>
      <c r="H470" s="112">
        <f>H12*H$7</f>
        <v>86.231970336090285</v>
      </c>
      <c r="I470" s="112">
        <f t="shared" ref="I470:Q470" si="12">I12*I$7</f>
        <v>29.861652483950483</v>
      </c>
      <c r="J470" s="112">
        <f t="shared" si="12"/>
        <v>60.889157142058892</v>
      </c>
      <c r="K470" s="112">
        <f t="shared" si="12"/>
        <v>28.919737115218876</v>
      </c>
      <c r="L470" s="112">
        <f t="shared" si="12"/>
        <v>44.441857678539407</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101"/>
      <c r="BE470" s="101"/>
      <c r="BF470" s="101"/>
      <c r="BG470" s="101"/>
      <c r="BH470" s="101"/>
      <c r="BI470" s="101"/>
      <c r="BJ470" s="101"/>
      <c r="BK470" s="12"/>
      <c r="BL470" s="12"/>
    </row>
    <row r="471" spans="1:64" hidden="1" outlineLevel="1">
      <c r="A471" s="9"/>
      <c r="B471" s="9"/>
      <c r="C471" s="46"/>
      <c r="D471" s="130" t="str">
        <f>Asset2</f>
        <v>Distribution system assets</v>
      </c>
      <c r="E471" s="9"/>
      <c r="F471" s="9"/>
      <c r="G471" s="196">
        <f>'Adjustment for previous period'!G367</f>
        <v>94.705826815053854</v>
      </c>
      <c r="H471" s="112">
        <f t="shared" ref="H471:L489" si="13">H13*H$7</f>
        <v>45.818028379792182</v>
      </c>
      <c r="I471" s="112">
        <f t="shared" si="13"/>
        <v>78.178225601303581</v>
      </c>
      <c r="J471" s="112">
        <f t="shared" si="13"/>
        <v>69.77307020553144</v>
      </c>
      <c r="K471" s="112">
        <f t="shared" si="13"/>
        <v>110.26370235795002</v>
      </c>
      <c r="L471" s="112">
        <f t="shared" si="13"/>
        <v>121.56507086898429</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101"/>
      <c r="BE471" s="101"/>
      <c r="BF471" s="101"/>
      <c r="BG471" s="101"/>
      <c r="BH471" s="101"/>
      <c r="BI471" s="101"/>
      <c r="BJ471" s="101"/>
      <c r="BK471" s="12"/>
      <c r="BL471" s="12"/>
    </row>
    <row r="472" spans="1:64" hidden="1" outlineLevel="1">
      <c r="A472" s="9"/>
      <c r="B472" s="9"/>
      <c r="C472" s="46"/>
      <c r="D472" s="130" t="str">
        <f>Asset3</f>
        <v>Standard metering</v>
      </c>
      <c r="E472" s="9"/>
      <c r="F472" s="9"/>
      <c r="G472" s="196">
        <f>'Adjustment for previous period'!G368</f>
        <v>0</v>
      </c>
      <c r="H472" s="112">
        <f t="shared" si="13"/>
        <v>0</v>
      </c>
      <c r="I472" s="112">
        <f t="shared" si="13"/>
        <v>0</v>
      </c>
      <c r="J472" s="112">
        <f t="shared" si="13"/>
        <v>0</v>
      </c>
      <c r="K472" s="112">
        <f t="shared" si="13"/>
        <v>0</v>
      </c>
      <c r="L472" s="112">
        <f t="shared" si="13"/>
        <v>0</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101"/>
      <c r="BE472" s="101"/>
      <c r="BF472" s="101"/>
      <c r="BG472" s="101"/>
      <c r="BH472" s="101"/>
      <c r="BI472" s="101"/>
      <c r="BJ472" s="101"/>
      <c r="BK472" s="12"/>
      <c r="BL472" s="12"/>
    </row>
    <row r="473" spans="1:64" hidden="1" outlineLevel="1">
      <c r="A473" s="9"/>
      <c r="B473" s="9"/>
      <c r="C473" s="46"/>
      <c r="D473" s="130" t="str">
        <f>Asset4</f>
        <v>Public lighting</v>
      </c>
      <c r="E473" s="9"/>
      <c r="F473" s="9"/>
      <c r="G473" s="196">
        <f>'Adjustment for previous period'!G369</f>
        <v>0</v>
      </c>
      <c r="H473" s="112">
        <f t="shared" si="13"/>
        <v>0</v>
      </c>
      <c r="I473" s="112">
        <f t="shared" si="13"/>
        <v>0</v>
      </c>
      <c r="J473" s="112">
        <f t="shared" si="13"/>
        <v>0</v>
      </c>
      <c r="K473" s="112">
        <f t="shared" si="13"/>
        <v>0</v>
      </c>
      <c r="L473" s="112">
        <f t="shared" si="13"/>
        <v>0</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101"/>
      <c r="BE473" s="101"/>
      <c r="BF473" s="101"/>
      <c r="BG473" s="101"/>
      <c r="BH473" s="101"/>
      <c r="BI473" s="101"/>
      <c r="BJ473" s="101"/>
      <c r="BK473" s="12"/>
      <c r="BL473" s="12"/>
    </row>
    <row r="474" spans="1:64" hidden="1" outlineLevel="1">
      <c r="A474" s="9"/>
      <c r="B474" s="9"/>
      <c r="C474" s="46"/>
      <c r="D474" s="130" t="str">
        <f>Asset5</f>
        <v>SCADA/Network control</v>
      </c>
      <c r="E474" s="9"/>
      <c r="F474" s="9"/>
      <c r="G474" s="196">
        <f>'Adjustment for previous period'!G370</f>
        <v>2.653848514099213</v>
      </c>
      <c r="H474" s="112">
        <f t="shared" si="13"/>
        <v>0.94521809378402388</v>
      </c>
      <c r="I474" s="112">
        <f t="shared" si="13"/>
        <v>3.5366602542787624</v>
      </c>
      <c r="J474" s="112">
        <f t="shared" si="13"/>
        <v>2.7733015639745746</v>
      </c>
      <c r="K474" s="112">
        <f t="shared" si="13"/>
        <v>2.7519109895989673</v>
      </c>
      <c r="L474" s="112">
        <f t="shared" si="13"/>
        <v>2.2380296448481447</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1"/>
      <c r="BE474" s="101"/>
      <c r="BF474" s="101"/>
      <c r="BG474" s="101"/>
      <c r="BH474" s="101"/>
      <c r="BI474" s="101"/>
      <c r="BJ474" s="101"/>
      <c r="BK474" s="12"/>
      <c r="BL474" s="12"/>
    </row>
    <row r="475" spans="1:64" hidden="1" outlineLevel="1">
      <c r="A475" s="9"/>
      <c r="B475" s="9"/>
      <c r="C475" s="46"/>
      <c r="D475" s="130" t="str">
        <f>Asset6</f>
        <v>Non-network general assets - IT</v>
      </c>
      <c r="E475" s="9"/>
      <c r="F475" s="9"/>
      <c r="G475" s="196">
        <f>'Adjustment for previous period'!G371</f>
        <v>4.9837282671718182</v>
      </c>
      <c r="H475" s="112">
        <f t="shared" si="13"/>
        <v>3.7099723927623169</v>
      </c>
      <c r="I475" s="112">
        <f t="shared" si="13"/>
        <v>6.1720230301039729</v>
      </c>
      <c r="J475" s="112">
        <f t="shared" si="13"/>
        <v>5.3244978952058419</v>
      </c>
      <c r="K475" s="112">
        <f t="shared" si="13"/>
        <v>9.0933169030375698</v>
      </c>
      <c r="L475" s="112">
        <f t="shared" si="13"/>
        <v>16.198319795047837</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101"/>
      <c r="BE475" s="101"/>
      <c r="BF475" s="101"/>
      <c r="BG475" s="101"/>
      <c r="BH475" s="101"/>
      <c r="BI475" s="101"/>
      <c r="BJ475" s="101"/>
      <c r="BK475" s="12"/>
      <c r="BL475" s="12"/>
    </row>
    <row r="476" spans="1:64" hidden="1" outlineLevel="1">
      <c r="A476" s="9"/>
      <c r="B476" s="9"/>
      <c r="C476" s="46"/>
      <c r="D476" s="130" t="str">
        <f>Asset7</f>
        <v>Non-network general assets - Other</v>
      </c>
      <c r="E476" s="9"/>
      <c r="F476" s="9"/>
      <c r="G476" s="196">
        <f>'Adjustment for previous period'!G372</f>
        <v>2.2315960686827254</v>
      </c>
      <c r="H476" s="112">
        <f t="shared" si="13"/>
        <v>0.97317543932887141</v>
      </c>
      <c r="I476" s="112">
        <f t="shared" si="13"/>
        <v>0.23239205255442272</v>
      </c>
      <c r="J476" s="112">
        <f t="shared" si="13"/>
        <v>2.6396537425278481</v>
      </c>
      <c r="K476" s="112">
        <f t="shared" si="13"/>
        <v>5.1344028926830454</v>
      </c>
      <c r="L476" s="112">
        <f t="shared" si="13"/>
        <v>2.8239003356139682</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101"/>
      <c r="BE476" s="101"/>
      <c r="BF476" s="101"/>
      <c r="BG476" s="101"/>
      <c r="BH476" s="101"/>
      <c r="BI476" s="101"/>
      <c r="BJ476" s="101"/>
      <c r="BK476" s="12"/>
      <c r="BL476" s="12"/>
    </row>
    <row r="477" spans="1:64" hidden="1" outlineLevel="1">
      <c r="A477" s="9"/>
      <c r="B477" s="9"/>
      <c r="C477" s="46"/>
      <c r="D477" s="130" t="str">
        <f>Asset8</f>
        <v>VBRC</v>
      </c>
      <c r="E477" s="9"/>
      <c r="F477" s="9"/>
      <c r="G477" s="196">
        <f>'Adjustment for previous period'!G373</f>
        <v>0</v>
      </c>
      <c r="H477" s="112">
        <f t="shared" si="13"/>
        <v>0</v>
      </c>
      <c r="I477" s="112">
        <f t="shared" si="13"/>
        <v>0</v>
      </c>
      <c r="J477" s="112">
        <f t="shared" si="13"/>
        <v>0</v>
      </c>
      <c r="K477" s="112">
        <f t="shared" si="13"/>
        <v>0</v>
      </c>
      <c r="L477" s="112">
        <f t="shared" si="13"/>
        <v>0</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101"/>
      <c r="BE477" s="101"/>
      <c r="BF477" s="101"/>
      <c r="BG477" s="101"/>
      <c r="BH477" s="101"/>
      <c r="BI477" s="101"/>
      <c r="BJ477" s="101"/>
      <c r="BK477" s="12"/>
      <c r="BL477" s="12"/>
    </row>
    <row r="478" spans="1:64" hidden="1" outlineLevel="1">
      <c r="A478" s="9"/>
      <c r="B478" s="9"/>
      <c r="C478" s="46"/>
      <c r="D478" s="130" t="str">
        <f>Asset9</f>
        <v>Equity raising</v>
      </c>
      <c r="E478" s="9"/>
      <c r="F478" s="9"/>
      <c r="G478" s="196">
        <f>'Adjustment for previous period'!G374</f>
        <v>0</v>
      </c>
      <c r="H478" s="112">
        <f t="shared" si="13"/>
        <v>2.9278467545427507</v>
      </c>
      <c r="I478" s="112">
        <f t="shared" si="13"/>
        <v>0</v>
      </c>
      <c r="J478" s="112">
        <f t="shared" si="13"/>
        <v>0</v>
      </c>
      <c r="K478" s="112">
        <f t="shared" si="13"/>
        <v>0</v>
      </c>
      <c r="L478" s="112">
        <f t="shared" si="13"/>
        <v>0</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101"/>
      <c r="BE478" s="101"/>
      <c r="BF478" s="101"/>
      <c r="BG478" s="101"/>
      <c r="BH478" s="101"/>
      <c r="BI478" s="101"/>
      <c r="BJ478" s="101"/>
      <c r="BK478" s="12"/>
      <c r="BL478" s="12"/>
    </row>
    <row r="479" spans="1:64" hidden="1" outlineLevel="1">
      <c r="A479" s="9"/>
      <c r="B479" s="9"/>
      <c r="C479" s="46"/>
      <c r="D479" s="130">
        <f>Asset10</f>
        <v>0</v>
      </c>
      <c r="E479" s="9"/>
      <c r="F479" s="9"/>
      <c r="G479" s="196">
        <f>'Adjustment for previous period'!G375</f>
        <v>0</v>
      </c>
      <c r="H479" s="112">
        <f t="shared" si="13"/>
        <v>0</v>
      </c>
      <c r="I479" s="112">
        <f t="shared" si="13"/>
        <v>0</v>
      </c>
      <c r="J479" s="112">
        <f t="shared" si="13"/>
        <v>0</v>
      </c>
      <c r="K479" s="112">
        <f t="shared" si="13"/>
        <v>0</v>
      </c>
      <c r="L479" s="112">
        <f t="shared" si="13"/>
        <v>0</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101"/>
      <c r="BE479" s="101"/>
      <c r="BF479" s="101"/>
      <c r="BG479" s="101"/>
      <c r="BH479" s="101"/>
      <c r="BI479" s="101"/>
      <c r="BJ479" s="101"/>
      <c r="BK479" s="12"/>
      <c r="BL479" s="12"/>
    </row>
    <row r="480" spans="1:64" hidden="1" outlineLevel="1">
      <c r="A480" s="9"/>
      <c r="B480" s="9"/>
      <c r="C480" s="46"/>
      <c r="D480" s="130">
        <f>Asset11</f>
        <v>0</v>
      </c>
      <c r="E480" s="9"/>
      <c r="F480" s="9"/>
      <c r="G480" s="196">
        <f>'Adjustment for previous period'!G376</f>
        <v>0</v>
      </c>
      <c r="H480" s="112">
        <f t="shared" si="13"/>
        <v>0</v>
      </c>
      <c r="I480" s="112">
        <f t="shared" si="13"/>
        <v>0</v>
      </c>
      <c r="J480" s="112">
        <f t="shared" si="13"/>
        <v>0</v>
      </c>
      <c r="K480" s="112">
        <f t="shared" si="13"/>
        <v>0</v>
      </c>
      <c r="L480" s="112">
        <f t="shared" si="13"/>
        <v>0</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101"/>
      <c r="BE480" s="101"/>
      <c r="BF480" s="101"/>
      <c r="BG480" s="101"/>
      <c r="BH480" s="101"/>
      <c r="BI480" s="101"/>
      <c r="BJ480" s="101"/>
      <c r="BK480" s="12"/>
      <c r="BL480" s="12"/>
    </row>
    <row r="481" spans="1:64" hidden="1" outlineLevel="1">
      <c r="A481" s="9"/>
      <c r="B481" s="9"/>
      <c r="C481" s="46"/>
      <c r="D481" s="130">
        <f>Asset12</f>
        <v>0</v>
      </c>
      <c r="E481" s="9"/>
      <c r="F481" s="9"/>
      <c r="G481" s="196">
        <f>'Adjustment for previous period'!G377</f>
        <v>0</v>
      </c>
      <c r="H481" s="112">
        <f t="shared" si="13"/>
        <v>0</v>
      </c>
      <c r="I481" s="112">
        <f t="shared" si="13"/>
        <v>0</v>
      </c>
      <c r="J481" s="112">
        <f t="shared" si="13"/>
        <v>0</v>
      </c>
      <c r="K481" s="112">
        <f t="shared" si="13"/>
        <v>0</v>
      </c>
      <c r="L481" s="112">
        <f t="shared" si="13"/>
        <v>0</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101"/>
      <c r="BE481" s="101"/>
      <c r="BF481" s="101"/>
      <c r="BG481" s="101"/>
      <c r="BH481" s="101"/>
      <c r="BI481" s="101"/>
      <c r="BJ481" s="101"/>
      <c r="BK481" s="12"/>
      <c r="BL481" s="12"/>
    </row>
    <row r="482" spans="1:64" hidden="1" outlineLevel="1">
      <c r="A482" s="9"/>
      <c r="B482" s="9"/>
      <c r="C482" s="46"/>
      <c r="D482" s="130">
        <f>Asset13</f>
        <v>0</v>
      </c>
      <c r="E482" s="9"/>
      <c r="F482" s="9"/>
      <c r="G482" s="196">
        <f>'Adjustment for previous period'!G378</f>
        <v>0</v>
      </c>
      <c r="H482" s="112">
        <f t="shared" si="13"/>
        <v>0</v>
      </c>
      <c r="I482" s="112">
        <f t="shared" si="13"/>
        <v>0</v>
      </c>
      <c r="J482" s="112">
        <f t="shared" si="13"/>
        <v>0</v>
      </c>
      <c r="K482" s="112">
        <f t="shared" si="13"/>
        <v>0</v>
      </c>
      <c r="L482" s="112">
        <f t="shared" si="13"/>
        <v>0</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101"/>
      <c r="BE482" s="101"/>
      <c r="BF482" s="101"/>
      <c r="BG482" s="101"/>
      <c r="BH482" s="101"/>
      <c r="BI482" s="101"/>
      <c r="BJ482" s="101"/>
      <c r="BK482" s="12"/>
      <c r="BL482" s="12"/>
    </row>
    <row r="483" spans="1:64" hidden="1" outlineLevel="1">
      <c r="A483" s="9"/>
      <c r="B483" s="9"/>
      <c r="C483" s="46"/>
      <c r="D483" s="130">
        <f>Asset14</f>
        <v>0</v>
      </c>
      <c r="E483" s="9"/>
      <c r="F483" s="9"/>
      <c r="G483" s="196">
        <f>'Adjustment for previous period'!G379</f>
        <v>0</v>
      </c>
      <c r="H483" s="112">
        <f t="shared" si="13"/>
        <v>0</v>
      </c>
      <c r="I483" s="112">
        <f t="shared" si="13"/>
        <v>0</v>
      </c>
      <c r="J483" s="112">
        <f t="shared" si="13"/>
        <v>0</v>
      </c>
      <c r="K483" s="112">
        <f t="shared" si="13"/>
        <v>0</v>
      </c>
      <c r="L483" s="112">
        <f t="shared" si="13"/>
        <v>0</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101"/>
      <c r="BE483" s="101"/>
      <c r="BF483" s="101"/>
      <c r="BG483" s="101"/>
      <c r="BH483" s="101"/>
      <c r="BI483" s="101"/>
      <c r="BJ483" s="101"/>
      <c r="BK483" s="12"/>
      <c r="BL483" s="12"/>
    </row>
    <row r="484" spans="1:64" hidden="1" outlineLevel="1">
      <c r="A484" s="9"/>
      <c r="B484" s="9"/>
      <c r="C484" s="46"/>
      <c r="D484" s="130">
        <f>Asset15</f>
        <v>0</v>
      </c>
      <c r="E484" s="9"/>
      <c r="F484" s="9"/>
      <c r="G484" s="196">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101"/>
      <c r="BE484" s="101"/>
      <c r="BF484" s="101"/>
      <c r="BG484" s="101"/>
      <c r="BH484" s="101"/>
      <c r="BI484" s="101"/>
      <c r="BJ484" s="101"/>
      <c r="BK484" s="12"/>
      <c r="BL484" s="12"/>
    </row>
    <row r="485" spans="1:64" hidden="1" outlineLevel="1">
      <c r="A485" s="9"/>
      <c r="B485" s="9"/>
      <c r="C485" s="46"/>
      <c r="D485" s="130">
        <f>Asset16</f>
        <v>0</v>
      </c>
      <c r="E485" s="9"/>
      <c r="F485" s="9"/>
      <c r="G485" s="196">
        <f>'Adjustment for previous period'!G381</f>
        <v>0</v>
      </c>
      <c r="H485" s="112">
        <f t="shared" si="13"/>
        <v>0</v>
      </c>
      <c r="I485" s="112">
        <f t="shared" si="13"/>
        <v>0</v>
      </c>
      <c r="J485" s="112">
        <f t="shared" si="13"/>
        <v>0</v>
      </c>
      <c r="K485" s="112">
        <f t="shared" si="13"/>
        <v>0</v>
      </c>
      <c r="L485" s="112">
        <f t="shared" si="13"/>
        <v>0</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101"/>
      <c r="BE485" s="101"/>
      <c r="BF485" s="101"/>
      <c r="BG485" s="101"/>
      <c r="BH485" s="101"/>
      <c r="BI485" s="101"/>
      <c r="BJ485" s="101"/>
      <c r="BK485" s="12"/>
      <c r="BL485" s="12"/>
    </row>
    <row r="486" spans="1:64" hidden="1" outlineLevel="1">
      <c r="A486" s="9"/>
      <c r="B486" s="9"/>
      <c r="C486" s="46"/>
      <c r="D486" s="130">
        <f>Asset17</f>
        <v>0</v>
      </c>
      <c r="E486" s="9"/>
      <c r="F486" s="9"/>
      <c r="G486" s="196">
        <f>'Adjustment for previous period'!G382</f>
        <v>0</v>
      </c>
      <c r="H486" s="112">
        <f t="shared" si="13"/>
        <v>0</v>
      </c>
      <c r="I486" s="112">
        <f t="shared" si="13"/>
        <v>0</v>
      </c>
      <c r="J486" s="112">
        <f t="shared" si="13"/>
        <v>0</v>
      </c>
      <c r="K486" s="112">
        <f t="shared" si="13"/>
        <v>0</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101"/>
      <c r="BE486" s="101"/>
      <c r="BF486" s="101"/>
      <c r="BG486" s="101"/>
      <c r="BH486" s="101"/>
      <c r="BI486" s="101"/>
      <c r="BJ486" s="101"/>
      <c r="BK486" s="12"/>
      <c r="BL486" s="12"/>
    </row>
    <row r="487" spans="1:64" hidden="1" outlineLevel="1">
      <c r="A487" s="9"/>
      <c r="B487" s="9"/>
      <c r="C487" s="46"/>
      <c r="D487" s="130">
        <f>Asset18</f>
        <v>0</v>
      </c>
      <c r="E487" s="9"/>
      <c r="F487" s="9"/>
      <c r="G487" s="196">
        <f>'Adjustment for previous period'!G383</f>
        <v>0</v>
      </c>
      <c r="H487" s="112">
        <f t="shared" si="13"/>
        <v>0</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1"/>
      <c r="BE487" s="101"/>
      <c r="BF487" s="101"/>
      <c r="BG487" s="101"/>
      <c r="BH487" s="101"/>
      <c r="BI487" s="101"/>
      <c r="BJ487" s="101"/>
      <c r="BK487" s="12"/>
      <c r="BL487" s="12"/>
    </row>
    <row r="488" spans="1:64" hidden="1" outlineLevel="1">
      <c r="A488" s="9"/>
      <c r="B488" s="9"/>
      <c r="C488" s="46"/>
      <c r="D488" s="130">
        <f>Asset19</f>
        <v>0</v>
      </c>
      <c r="E488" s="9"/>
      <c r="F488" s="9"/>
      <c r="G488" s="196">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101"/>
      <c r="BE488" s="101"/>
      <c r="BF488" s="101"/>
      <c r="BG488" s="101"/>
      <c r="BH488" s="101"/>
      <c r="BI488" s="101"/>
      <c r="BJ488" s="101"/>
      <c r="BK488" s="12"/>
      <c r="BL488" s="12"/>
    </row>
    <row r="489" spans="1:64" hidden="1" outlineLevel="1">
      <c r="A489" s="9"/>
      <c r="B489" s="9"/>
      <c r="C489" s="46"/>
      <c r="D489" s="130">
        <f>Asset20</f>
        <v>0</v>
      </c>
      <c r="E489" s="9"/>
      <c r="F489" s="9"/>
      <c r="G489" s="196">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101"/>
      <c r="BE489" s="101"/>
      <c r="BF489" s="101"/>
      <c r="BG489" s="101"/>
      <c r="BH489" s="101"/>
      <c r="BI489" s="101"/>
      <c r="BJ489" s="101"/>
      <c r="BK489" s="12"/>
      <c r="BL489" s="12"/>
    </row>
    <row r="490" spans="1:64" hidden="1" outlineLevel="1">
      <c r="A490" s="9"/>
      <c r="B490" s="9"/>
      <c r="C490" s="46"/>
      <c r="D490" s="130">
        <f>Asset21</f>
        <v>0</v>
      </c>
      <c r="E490" s="9"/>
      <c r="F490" s="9"/>
      <c r="G490" s="196">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101"/>
      <c r="BE490" s="101"/>
      <c r="BF490" s="101"/>
      <c r="BG490" s="101"/>
      <c r="BH490" s="101"/>
      <c r="BI490" s="101"/>
      <c r="BJ490" s="101"/>
      <c r="BK490" s="12"/>
      <c r="BL490" s="12"/>
    </row>
    <row r="491" spans="1:64" hidden="1" outlineLevel="1">
      <c r="A491" s="9"/>
      <c r="B491" s="9"/>
      <c r="C491" s="46"/>
      <c r="D491" s="130">
        <f>Asset22</f>
        <v>0</v>
      </c>
      <c r="E491" s="9"/>
      <c r="F491" s="9"/>
      <c r="G491" s="196">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101"/>
      <c r="BE491" s="101"/>
      <c r="BF491" s="101"/>
      <c r="BG491" s="101"/>
      <c r="BH491" s="101"/>
      <c r="BI491" s="101"/>
      <c r="BJ491" s="101"/>
      <c r="BK491" s="12"/>
      <c r="BL491" s="12"/>
    </row>
    <row r="492" spans="1:64" hidden="1" outlineLevel="1">
      <c r="A492" s="9"/>
      <c r="B492" s="9"/>
      <c r="C492" s="46"/>
      <c r="D492" s="130">
        <f>Asset23</f>
        <v>0</v>
      </c>
      <c r="E492" s="9"/>
      <c r="F492" s="9"/>
      <c r="G492" s="196">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101"/>
      <c r="BE492" s="101"/>
      <c r="BF492" s="101"/>
      <c r="BG492" s="101"/>
      <c r="BH492" s="101"/>
      <c r="BI492" s="101"/>
      <c r="BJ492" s="101"/>
      <c r="BK492" s="12"/>
      <c r="BL492" s="12"/>
    </row>
    <row r="493" spans="1:64" hidden="1" outlineLevel="1">
      <c r="A493" s="9"/>
      <c r="B493" s="9"/>
      <c r="C493" s="46"/>
      <c r="D493" s="130">
        <f>Asset24</f>
        <v>0</v>
      </c>
      <c r="E493" s="9"/>
      <c r="F493" s="9"/>
      <c r="G493" s="196">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101"/>
      <c r="BE493" s="101"/>
      <c r="BF493" s="101"/>
      <c r="BG493" s="101"/>
      <c r="BH493" s="101"/>
      <c r="BI493" s="101"/>
      <c r="BJ493" s="101"/>
      <c r="BK493" s="12"/>
      <c r="BL493" s="12"/>
    </row>
    <row r="494" spans="1:64" hidden="1" outlineLevel="1">
      <c r="A494" s="9"/>
      <c r="B494" s="9"/>
      <c r="C494" s="46"/>
      <c r="D494" s="130">
        <f>Asset25</f>
        <v>0</v>
      </c>
      <c r="E494" s="9"/>
      <c r="F494" s="9"/>
      <c r="G494" s="196">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101"/>
      <c r="BE494" s="101"/>
      <c r="BF494" s="101"/>
      <c r="BG494" s="101"/>
      <c r="BH494" s="101"/>
      <c r="BI494" s="101"/>
      <c r="BJ494" s="101"/>
      <c r="BK494" s="12"/>
      <c r="BL494" s="12"/>
    </row>
    <row r="495" spans="1:64" hidden="1" outlineLevel="1">
      <c r="A495" s="9"/>
      <c r="B495" s="9"/>
      <c r="C495" s="46"/>
      <c r="D495" s="130">
        <f>Asset26</f>
        <v>0</v>
      </c>
      <c r="E495" s="9"/>
      <c r="F495" s="9"/>
      <c r="G495" s="196">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101"/>
      <c r="BE495" s="101"/>
      <c r="BF495" s="101"/>
      <c r="BG495" s="101"/>
      <c r="BH495" s="101"/>
      <c r="BI495" s="101"/>
      <c r="BJ495" s="101"/>
      <c r="BK495" s="12"/>
      <c r="BL495" s="12"/>
    </row>
    <row r="496" spans="1:64" hidden="1" outlineLevel="1">
      <c r="A496" s="9"/>
      <c r="B496" s="9"/>
      <c r="C496" s="46"/>
      <c r="D496" s="130">
        <f>Asset27</f>
        <v>0</v>
      </c>
      <c r="E496" s="9"/>
      <c r="F496" s="9"/>
      <c r="G496" s="196">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101"/>
      <c r="BE496" s="101"/>
      <c r="BF496" s="101"/>
      <c r="BG496" s="101"/>
      <c r="BH496" s="101"/>
      <c r="BI496" s="101"/>
      <c r="BJ496" s="101"/>
      <c r="BK496" s="12"/>
      <c r="BL496" s="12"/>
    </row>
    <row r="497" spans="1:64" hidden="1" outlineLevel="1">
      <c r="A497" s="9"/>
      <c r="B497" s="9"/>
      <c r="C497" s="46"/>
      <c r="D497" s="130">
        <f>Asset28</f>
        <v>0</v>
      </c>
      <c r="E497" s="9"/>
      <c r="F497" s="9"/>
      <c r="G497" s="196">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101"/>
      <c r="BE497" s="101"/>
      <c r="BF497" s="101"/>
      <c r="BG497" s="101"/>
      <c r="BH497" s="101"/>
      <c r="BI497" s="101"/>
      <c r="BJ497" s="101"/>
      <c r="BK497" s="12"/>
      <c r="BL497" s="12"/>
    </row>
    <row r="498" spans="1:64" hidden="1" outlineLevel="1">
      <c r="A498" s="9"/>
      <c r="B498" s="9"/>
      <c r="C498" s="46"/>
      <c r="D498" s="130">
        <f>Asset29</f>
        <v>0</v>
      </c>
      <c r="E498" s="9"/>
      <c r="F498" s="9"/>
      <c r="G498" s="196">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101"/>
      <c r="BE498" s="101"/>
      <c r="BF498" s="101"/>
      <c r="BG498" s="101"/>
      <c r="BH498" s="101"/>
      <c r="BI498" s="101"/>
      <c r="BJ498" s="101"/>
      <c r="BK498" s="12"/>
      <c r="BL498" s="12"/>
    </row>
    <row r="499" spans="1:64" hidden="1" outlineLevel="1">
      <c r="A499" s="9"/>
      <c r="B499" s="9"/>
      <c r="C499" s="46"/>
      <c r="D499" s="130">
        <f>Asset30</f>
        <v>0</v>
      </c>
      <c r="E499" s="9"/>
      <c r="F499" s="9"/>
      <c r="G499" s="196">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101"/>
      <c r="BE499" s="101"/>
      <c r="BF499" s="101"/>
      <c r="BG499" s="101"/>
      <c r="BH499" s="101"/>
      <c r="BI499" s="101"/>
      <c r="BJ499" s="101"/>
      <c r="BK499" s="12"/>
      <c r="BL499" s="12"/>
    </row>
    <row r="500" spans="1:64" collapsed="1">
      <c r="A500" s="9"/>
      <c r="B500" s="9"/>
      <c r="C500" s="46"/>
      <c r="D500" s="114"/>
      <c r="E500" s="9"/>
      <c r="F500" s="9"/>
      <c r="G500" s="200"/>
      <c r="H500" s="37"/>
      <c r="I500" s="37"/>
      <c r="J500" s="37"/>
      <c r="K500" s="37"/>
      <c r="L500" s="37"/>
      <c r="M500" s="37"/>
      <c r="N500" s="29"/>
      <c r="O500" s="29"/>
      <c r="P500" s="29"/>
      <c r="Q500" s="29"/>
      <c r="R500" s="29"/>
      <c r="S500" s="101"/>
      <c r="T500" s="101"/>
      <c r="U500" s="101"/>
      <c r="V500" s="101"/>
      <c r="W500" s="101"/>
      <c r="X500" s="101"/>
      <c r="Y500" s="101"/>
      <c r="Z500" s="101"/>
      <c r="AA500" s="101"/>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1"/>
      <c r="BE500" s="101"/>
      <c r="BF500" s="101"/>
      <c r="BG500" s="101"/>
      <c r="BH500" s="101"/>
      <c r="BI500" s="101"/>
      <c r="BJ500" s="101"/>
      <c r="BK500" s="12"/>
      <c r="BL500" s="12"/>
    </row>
    <row r="501" spans="1:64">
      <c r="A501" s="9"/>
      <c r="B501" s="9"/>
      <c r="C501" s="218" t="s">
        <v>75</v>
      </c>
      <c r="D501" s="213"/>
      <c r="E501" s="9"/>
      <c r="F501" s="9"/>
      <c r="G501" s="194">
        <f>SUM(G502:G531)</f>
        <v>-56.666342363283739</v>
      </c>
      <c r="H501" s="37">
        <f>SUM(H502:H531)</f>
        <v>-32.119275284116796</v>
      </c>
      <c r="I501" s="37">
        <f t="shared" ref="I501:Q501" si="25">SUM(I502:I531)</f>
        <v>-24.902918102864916</v>
      </c>
      <c r="J501" s="37">
        <f t="shared" si="25"/>
        <v>-49.266341716909835</v>
      </c>
      <c r="K501" s="37">
        <f t="shared" si="25"/>
        <v>-50.738935101340253</v>
      </c>
      <c r="L501" s="37">
        <f t="shared" si="25"/>
        <v>-53.134204590138211</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101"/>
      <c r="BE501" s="101"/>
      <c r="BF501" s="101"/>
      <c r="BG501" s="101"/>
      <c r="BH501" s="101"/>
      <c r="BI501" s="101"/>
      <c r="BJ501" s="101"/>
      <c r="BK501" s="12"/>
      <c r="BL501" s="12"/>
    </row>
    <row r="502" spans="1:64" hidden="1" outlineLevel="1">
      <c r="A502" s="9"/>
      <c r="B502" s="9"/>
      <c r="C502" s="46"/>
      <c r="D502" s="130" t="str">
        <f>Asset1</f>
        <v>Subtransmission</v>
      </c>
      <c r="E502" s="9"/>
      <c r="F502" s="9"/>
      <c r="G502" s="196">
        <f>'Adjustment for previous period'!G398</f>
        <v>-8.560933643561853</v>
      </c>
      <c r="H502" s="112">
        <f>H632+H666</f>
        <v>-2.4599258112889686</v>
      </c>
      <c r="I502" s="112">
        <f t="shared" ref="I502:Q502" si="26">I632+I666</f>
        <v>-0.42086986240468072</v>
      </c>
      <c r="J502" s="112">
        <f t="shared" si="26"/>
        <v>-4.184949312411181</v>
      </c>
      <c r="K502" s="112">
        <f t="shared" si="26"/>
        <v>-3.9925701792337831</v>
      </c>
      <c r="L502" s="112">
        <f t="shared" si="26"/>
        <v>-3.7900866522400083</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101"/>
      <c r="BE502" s="101"/>
      <c r="BF502" s="101"/>
      <c r="BG502" s="101"/>
      <c r="BH502" s="101"/>
      <c r="BI502" s="101"/>
      <c r="BJ502" s="101"/>
      <c r="BK502" s="12"/>
      <c r="BL502" s="12"/>
    </row>
    <row r="503" spans="1:64" hidden="1" outlineLevel="1">
      <c r="A503" s="9"/>
      <c r="B503" s="9"/>
      <c r="C503" s="46"/>
      <c r="D503" s="130" t="str">
        <f>Asset2</f>
        <v>Distribution system assets</v>
      </c>
      <c r="E503" s="9"/>
      <c r="F503" s="9"/>
      <c r="G503" s="196">
        <f>'Adjustment for previous period'!G399</f>
        <v>-30.506557915818007</v>
      </c>
      <c r="H503" s="112">
        <f t="shared" ref="H503:Q531" si="27">H633+H667</f>
        <v>-21.053117993240704</v>
      </c>
      <c r="I503" s="112">
        <f t="shared" si="27"/>
        <v>-15.148558466994956</v>
      </c>
      <c r="J503" s="112">
        <f t="shared" si="27"/>
        <v>-33.076123569850758</v>
      </c>
      <c r="K503" s="112">
        <f t="shared" si="27"/>
        <v>-33.142961519680313</v>
      </c>
      <c r="L503" s="112">
        <f t="shared" si="27"/>
        <v>-33.281571470746641</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101"/>
      <c r="BE503" s="101"/>
      <c r="BF503" s="101"/>
      <c r="BG503" s="101"/>
      <c r="BH503" s="101"/>
      <c r="BI503" s="101"/>
      <c r="BJ503" s="101"/>
      <c r="BK503" s="12"/>
      <c r="BL503" s="12"/>
    </row>
    <row r="504" spans="1:64" hidden="1" outlineLevel="1">
      <c r="A504" s="9"/>
      <c r="B504" s="9"/>
      <c r="C504" s="46"/>
      <c r="D504" s="130" t="str">
        <f>Asset3</f>
        <v>Standard metering</v>
      </c>
      <c r="E504" s="9"/>
      <c r="F504" s="9"/>
      <c r="G504" s="196">
        <f>'Adjustment for previous period'!G400</f>
        <v>-3.1558842313843654</v>
      </c>
      <c r="H504" s="112">
        <f t="shared" si="27"/>
        <v>-4.8876990536383467</v>
      </c>
      <c r="I504" s="112">
        <f t="shared" si="27"/>
        <v>-5.0130750698425199</v>
      </c>
      <c r="J504" s="112">
        <f t="shared" si="27"/>
        <v>-5.6836235916824043</v>
      </c>
      <c r="K504" s="112">
        <f t="shared" si="27"/>
        <v>-5.9013026065108676</v>
      </c>
      <c r="L504" s="112">
        <f t="shared" si="27"/>
        <v>-6.1553847366687178</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101"/>
      <c r="BE504" s="101"/>
      <c r="BF504" s="101"/>
      <c r="BG504" s="101"/>
      <c r="BH504" s="101"/>
      <c r="BI504" s="101"/>
      <c r="BJ504" s="101"/>
      <c r="BK504" s="12"/>
      <c r="BL504" s="12"/>
    </row>
    <row r="505" spans="1:64" hidden="1" outlineLevel="1">
      <c r="A505" s="9"/>
      <c r="B505" s="9"/>
      <c r="C505" s="46"/>
      <c r="D505" s="130" t="str">
        <f>Asset4</f>
        <v>Public lighting</v>
      </c>
      <c r="E505" s="9"/>
      <c r="F505" s="9"/>
      <c r="G505" s="196">
        <f>'Adjustment for previous period'!G401</f>
        <v>-0.45422246060488719</v>
      </c>
      <c r="H505" s="112">
        <f t="shared" si="27"/>
        <v>-0.50323165446951146</v>
      </c>
      <c r="I505" s="112">
        <f t="shared" si="27"/>
        <v>-0.47433447893053021</v>
      </c>
      <c r="J505" s="112">
        <f t="shared" si="27"/>
        <v>-0.64628697675609503</v>
      </c>
      <c r="K505" s="112">
        <f t="shared" si="27"/>
        <v>-0.66379117302023127</v>
      </c>
      <c r="L505" s="112">
        <f t="shared" si="27"/>
        <v>-0.68618718603988182</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101"/>
      <c r="BE505" s="101"/>
      <c r="BF505" s="101"/>
      <c r="BG505" s="101"/>
      <c r="BH505" s="101"/>
      <c r="BI505" s="101"/>
      <c r="BJ505" s="101"/>
      <c r="BK505" s="12"/>
      <c r="BL505" s="12"/>
    </row>
    <row r="506" spans="1:64" hidden="1" outlineLevel="1">
      <c r="A506" s="9"/>
      <c r="B506" s="9"/>
      <c r="C506" s="46"/>
      <c r="D506" s="130" t="str">
        <f>Asset5</f>
        <v>SCADA/Network control</v>
      </c>
      <c r="E506" s="9"/>
      <c r="F506" s="9"/>
      <c r="G506" s="196">
        <f>'Adjustment for previous period'!G402</f>
        <v>-2.166063639665591</v>
      </c>
      <c r="H506" s="112">
        <f t="shared" si="27"/>
        <v>-1.662524900276293</v>
      </c>
      <c r="I506" s="112">
        <f t="shared" si="27"/>
        <v>-1.7224422999285072</v>
      </c>
      <c r="J506" s="112">
        <f t="shared" si="27"/>
        <v>-2.2347007948575759</v>
      </c>
      <c r="K506" s="112">
        <f t="shared" si="27"/>
        <v>-2.4702629053636906</v>
      </c>
      <c r="L506" s="112">
        <f t="shared" si="27"/>
        <v>-2.7206397432745599</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101"/>
      <c r="BE506" s="101"/>
      <c r="BF506" s="101"/>
      <c r="BG506" s="101"/>
      <c r="BH506" s="101"/>
      <c r="BI506" s="101"/>
      <c r="BJ506" s="101"/>
      <c r="BK506" s="12"/>
      <c r="BL506" s="12"/>
    </row>
    <row r="507" spans="1:64" hidden="1" outlineLevel="1">
      <c r="A507" s="9"/>
      <c r="B507" s="9"/>
      <c r="C507" s="46"/>
      <c r="D507" s="130" t="str">
        <f>Asset6</f>
        <v>Non-network general assets - IT</v>
      </c>
      <c r="E507" s="9"/>
      <c r="F507" s="9"/>
      <c r="G507" s="196">
        <f>'Adjustment for previous period'!G403</f>
        <v>-10.503194478149721</v>
      </c>
      <c r="H507" s="112">
        <f t="shared" si="27"/>
        <v>-1.2704796497708743E-2</v>
      </c>
      <c r="I507" s="112">
        <f t="shared" si="27"/>
        <v>-0.52263302872814044</v>
      </c>
      <c r="J507" s="112">
        <f t="shared" si="27"/>
        <v>-1.529013017458428</v>
      </c>
      <c r="K507" s="112">
        <f t="shared" si="27"/>
        <v>-2.3759069276955529</v>
      </c>
      <c r="L507" s="112">
        <f t="shared" si="27"/>
        <v>-3.8134623777351448</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101"/>
      <c r="BE507" s="101"/>
      <c r="BF507" s="101"/>
      <c r="BG507" s="101"/>
      <c r="BH507" s="101"/>
      <c r="BI507" s="101"/>
      <c r="BJ507" s="101"/>
      <c r="BK507" s="12"/>
      <c r="BL507" s="12"/>
    </row>
    <row r="508" spans="1:64" hidden="1" outlineLevel="1">
      <c r="A508" s="9"/>
      <c r="B508" s="9"/>
      <c r="C508" s="46"/>
      <c r="D508" s="130" t="str">
        <f>Asset7</f>
        <v>Non-network general assets - Other</v>
      </c>
      <c r="E508" s="9"/>
      <c r="F508" s="9"/>
      <c r="G508" s="196">
        <f>'Adjustment for previous period'!G404</f>
        <v>-1.3194859940993175</v>
      </c>
      <c r="H508" s="112">
        <f t="shared" si="27"/>
        <v>-1.5400710747052662</v>
      </c>
      <c r="I508" s="112">
        <f t="shared" si="27"/>
        <v>-1.6390444872382548</v>
      </c>
      <c r="J508" s="112">
        <f t="shared" si="27"/>
        <v>-1.9047601784424102</v>
      </c>
      <c r="K508" s="112">
        <f t="shared" si="27"/>
        <v>-2.1883326532520355</v>
      </c>
      <c r="L508" s="112">
        <f t="shared" si="27"/>
        <v>-2.6857515364697337</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101"/>
      <c r="BE508" s="101"/>
      <c r="BF508" s="101"/>
      <c r="BG508" s="101"/>
      <c r="BH508" s="101"/>
      <c r="BI508" s="101"/>
      <c r="BJ508" s="101"/>
      <c r="BK508" s="12"/>
      <c r="BL508" s="12"/>
    </row>
    <row r="509" spans="1:64" hidden="1" outlineLevel="1">
      <c r="A509" s="9"/>
      <c r="B509" s="9"/>
      <c r="C509" s="46"/>
      <c r="D509" s="130" t="str">
        <f>Asset8</f>
        <v>VBRC</v>
      </c>
      <c r="E509" s="9"/>
      <c r="F509" s="9"/>
      <c r="G509" s="196">
        <f>'Adjustment for previous period'!G405</f>
        <v>0</v>
      </c>
      <c r="H509" s="112">
        <f t="shared" si="27"/>
        <v>0</v>
      </c>
      <c r="I509" s="112">
        <f t="shared" si="27"/>
        <v>0</v>
      </c>
      <c r="J509" s="112">
        <f t="shared" si="27"/>
        <v>0</v>
      </c>
      <c r="K509" s="112">
        <f t="shared" si="27"/>
        <v>0</v>
      </c>
      <c r="L509" s="112">
        <f t="shared" si="27"/>
        <v>0</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101"/>
      <c r="BE509" s="101"/>
      <c r="BF509" s="101"/>
      <c r="BG509" s="101"/>
      <c r="BH509" s="101"/>
      <c r="BI509" s="101"/>
      <c r="BJ509" s="101"/>
      <c r="BK509" s="12"/>
      <c r="BL509" s="12"/>
    </row>
    <row r="510" spans="1:64" hidden="1" outlineLevel="1">
      <c r="A510" s="9"/>
      <c r="B510" s="9"/>
      <c r="C510" s="46"/>
      <c r="D510" s="130" t="str">
        <f>Asset9</f>
        <v>Equity raising</v>
      </c>
      <c r="E510" s="9"/>
      <c r="F510" s="9"/>
      <c r="G510" s="196">
        <f>'Adjustment for previous period'!G406</f>
        <v>0</v>
      </c>
      <c r="H510" s="112">
        <f t="shared" si="27"/>
        <v>0</v>
      </c>
      <c r="I510" s="112">
        <f t="shared" si="27"/>
        <v>3.8039591202673029E-2</v>
      </c>
      <c r="J510" s="112">
        <f t="shared" si="27"/>
        <v>-6.8842754509887277E-3</v>
      </c>
      <c r="K510" s="112">
        <f t="shared" si="27"/>
        <v>-3.8071365837870214E-3</v>
      </c>
      <c r="L510" s="112">
        <f t="shared" si="27"/>
        <v>-1.1208869635362523E-3</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101"/>
      <c r="BE510" s="101"/>
      <c r="BF510" s="101"/>
      <c r="BG510" s="101"/>
      <c r="BH510" s="101"/>
      <c r="BI510" s="101"/>
      <c r="BJ510" s="101"/>
      <c r="BK510" s="12"/>
      <c r="BL510" s="12"/>
    </row>
    <row r="511" spans="1:64" hidden="1" outlineLevel="1">
      <c r="A511" s="9"/>
      <c r="B511" s="9"/>
      <c r="C511" s="46"/>
      <c r="D511" s="130">
        <f>Asset10</f>
        <v>0</v>
      </c>
      <c r="E511" s="9"/>
      <c r="F511" s="9"/>
      <c r="G511" s="196">
        <f>'Adjustment for previous period'!G407</f>
        <v>0</v>
      </c>
      <c r="H511" s="112">
        <f t="shared" si="27"/>
        <v>0</v>
      </c>
      <c r="I511" s="112">
        <f t="shared" si="27"/>
        <v>0</v>
      </c>
      <c r="J511" s="112">
        <f t="shared" si="27"/>
        <v>0</v>
      </c>
      <c r="K511" s="112">
        <f t="shared" si="27"/>
        <v>0</v>
      </c>
      <c r="L511" s="112">
        <f t="shared" si="27"/>
        <v>0</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101"/>
      <c r="BE511" s="101"/>
      <c r="BF511" s="101"/>
      <c r="BG511" s="101"/>
      <c r="BH511" s="101"/>
      <c r="BI511" s="101"/>
      <c r="BJ511" s="101"/>
      <c r="BK511" s="12"/>
      <c r="BL511" s="12"/>
    </row>
    <row r="512" spans="1:64" hidden="1" outlineLevel="1">
      <c r="A512" s="9"/>
      <c r="B512" s="9"/>
      <c r="C512" s="46"/>
      <c r="D512" s="130">
        <f>Asset11</f>
        <v>0</v>
      </c>
      <c r="E512" s="9"/>
      <c r="F512" s="9"/>
      <c r="G512" s="196">
        <f>'Adjustment for previous period'!G408</f>
        <v>0</v>
      </c>
      <c r="H512" s="112">
        <f t="shared" si="27"/>
        <v>0</v>
      </c>
      <c r="I512" s="112">
        <f t="shared" si="27"/>
        <v>0</v>
      </c>
      <c r="J512" s="112">
        <f t="shared" si="27"/>
        <v>0</v>
      </c>
      <c r="K512" s="112">
        <f t="shared" si="27"/>
        <v>0</v>
      </c>
      <c r="L512" s="112">
        <f t="shared" si="27"/>
        <v>0</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101"/>
      <c r="BE512" s="101"/>
      <c r="BF512" s="101"/>
      <c r="BG512" s="101"/>
      <c r="BH512" s="101"/>
      <c r="BI512" s="101"/>
      <c r="BJ512" s="101"/>
      <c r="BK512" s="12"/>
      <c r="BL512" s="12"/>
    </row>
    <row r="513" spans="1:64" hidden="1" outlineLevel="1">
      <c r="A513" s="9"/>
      <c r="B513" s="9"/>
      <c r="C513" s="46"/>
      <c r="D513" s="130">
        <f>Asset12</f>
        <v>0</v>
      </c>
      <c r="E513" s="9"/>
      <c r="F513" s="9"/>
      <c r="G513" s="196">
        <f>'Adjustment for previous period'!G409</f>
        <v>0</v>
      </c>
      <c r="H513" s="112">
        <f t="shared" si="27"/>
        <v>0</v>
      </c>
      <c r="I513" s="112">
        <f t="shared" si="27"/>
        <v>0</v>
      </c>
      <c r="J513" s="112">
        <f t="shared" si="27"/>
        <v>0</v>
      </c>
      <c r="K513" s="112">
        <f t="shared" si="27"/>
        <v>0</v>
      </c>
      <c r="L513" s="112">
        <f t="shared" si="27"/>
        <v>0</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1"/>
      <c r="BE513" s="101"/>
      <c r="BF513" s="101"/>
      <c r="BG513" s="101"/>
      <c r="BH513" s="101"/>
      <c r="BI513" s="101"/>
      <c r="BJ513" s="101"/>
      <c r="BK513" s="12"/>
      <c r="BL513" s="12"/>
    </row>
    <row r="514" spans="1:64" hidden="1" outlineLevel="1">
      <c r="A514" s="9"/>
      <c r="B514" s="9"/>
      <c r="C514" s="46"/>
      <c r="D514" s="130">
        <f>Asset13</f>
        <v>0</v>
      </c>
      <c r="E514" s="9"/>
      <c r="F514" s="9"/>
      <c r="G514" s="196">
        <f>'Adjustment for previous period'!G410</f>
        <v>0</v>
      </c>
      <c r="H514" s="112">
        <f t="shared" si="27"/>
        <v>0</v>
      </c>
      <c r="I514" s="112">
        <f t="shared" si="27"/>
        <v>0</v>
      </c>
      <c r="J514" s="112">
        <f t="shared" si="27"/>
        <v>0</v>
      </c>
      <c r="K514" s="112">
        <f t="shared" si="27"/>
        <v>0</v>
      </c>
      <c r="L514" s="112">
        <f t="shared" si="27"/>
        <v>0</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101"/>
      <c r="BE514" s="101"/>
      <c r="BF514" s="101"/>
      <c r="BG514" s="101"/>
      <c r="BH514" s="101"/>
      <c r="BI514" s="101"/>
      <c r="BJ514" s="101"/>
      <c r="BK514" s="12"/>
      <c r="BL514" s="12"/>
    </row>
    <row r="515" spans="1:64" hidden="1" outlineLevel="1">
      <c r="A515" s="9"/>
      <c r="B515" s="9"/>
      <c r="C515" s="46"/>
      <c r="D515" s="130">
        <f>Asset14</f>
        <v>0</v>
      </c>
      <c r="E515" s="9"/>
      <c r="F515" s="9"/>
      <c r="G515" s="196">
        <f>'Adjustment for previous period'!G411</f>
        <v>0</v>
      </c>
      <c r="H515" s="112">
        <f t="shared" si="27"/>
        <v>0</v>
      </c>
      <c r="I515" s="112">
        <f t="shared" si="27"/>
        <v>0</v>
      </c>
      <c r="J515" s="112">
        <f t="shared" si="27"/>
        <v>0</v>
      </c>
      <c r="K515" s="112">
        <f t="shared" si="27"/>
        <v>0</v>
      </c>
      <c r="L515" s="112">
        <f t="shared" si="27"/>
        <v>0</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101"/>
      <c r="BE515" s="101"/>
      <c r="BF515" s="101"/>
      <c r="BG515" s="101"/>
      <c r="BH515" s="101"/>
      <c r="BI515" s="101"/>
      <c r="BJ515" s="101"/>
      <c r="BK515" s="12"/>
      <c r="BL515" s="12"/>
    </row>
    <row r="516" spans="1:64" hidden="1" outlineLevel="1">
      <c r="A516" s="9"/>
      <c r="B516" s="9"/>
      <c r="C516" s="46"/>
      <c r="D516" s="130">
        <f>Asset15</f>
        <v>0</v>
      </c>
      <c r="E516" s="9"/>
      <c r="F516" s="9"/>
      <c r="G516" s="196">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101"/>
      <c r="BE516" s="101"/>
      <c r="BF516" s="101"/>
      <c r="BG516" s="101"/>
      <c r="BH516" s="101"/>
      <c r="BI516" s="101"/>
      <c r="BJ516" s="101"/>
      <c r="BK516" s="12"/>
      <c r="BL516" s="12"/>
    </row>
    <row r="517" spans="1:64" hidden="1" outlineLevel="1">
      <c r="A517" s="9"/>
      <c r="B517" s="9"/>
      <c r="C517" s="46"/>
      <c r="D517" s="130">
        <f>Asset16</f>
        <v>0</v>
      </c>
      <c r="E517" s="9"/>
      <c r="F517" s="9"/>
      <c r="G517" s="196">
        <f>'Adjustment for previous period'!G413</f>
        <v>0</v>
      </c>
      <c r="H517" s="112">
        <f t="shared" si="27"/>
        <v>0</v>
      </c>
      <c r="I517" s="112">
        <f t="shared" si="27"/>
        <v>0</v>
      </c>
      <c r="J517" s="112">
        <f t="shared" si="27"/>
        <v>0</v>
      </c>
      <c r="K517" s="112">
        <f t="shared" si="27"/>
        <v>0</v>
      </c>
      <c r="L517" s="112">
        <f t="shared" si="27"/>
        <v>0</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101"/>
      <c r="BE517" s="101"/>
      <c r="BF517" s="101"/>
      <c r="BG517" s="101"/>
      <c r="BH517" s="101"/>
      <c r="BI517" s="101"/>
      <c r="BJ517" s="101"/>
      <c r="BK517" s="12"/>
      <c r="BL517" s="12"/>
    </row>
    <row r="518" spans="1:64" hidden="1" outlineLevel="1">
      <c r="A518" s="9"/>
      <c r="B518" s="9"/>
      <c r="C518" s="46"/>
      <c r="D518" s="130">
        <f>Asset17</f>
        <v>0</v>
      </c>
      <c r="E518" s="9"/>
      <c r="F518" s="9"/>
      <c r="G518" s="196">
        <f>'Adjustment for previous period'!G414</f>
        <v>0</v>
      </c>
      <c r="H518" s="112">
        <f t="shared" si="27"/>
        <v>0</v>
      </c>
      <c r="I518" s="112">
        <f t="shared" si="27"/>
        <v>0</v>
      </c>
      <c r="J518" s="112">
        <f t="shared" si="27"/>
        <v>0</v>
      </c>
      <c r="K518" s="112">
        <f t="shared" si="27"/>
        <v>0</v>
      </c>
      <c r="L518" s="112">
        <f t="shared" si="27"/>
        <v>0</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101"/>
      <c r="BE518" s="101"/>
      <c r="BF518" s="101"/>
      <c r="BG518" s="101"/>
      <c r="BH518" s="101"/>
      <c r="BI518" s="101"/>
      <c r="BJ518" s="101"/>
      <c r="BK518" s="12"/>
      <c r="BL518" s="12"/>
    </row>
    <row r="519" spans="1:64" hidden="1" outlineLevel="1">
      <c r="A519" s="9"/>
      <c r="B519" s="9"/>
      <c r="C519" s="46"/>
      <c r="D519" s="130">
        <f>Asset18</f>
        <v>0</v>
      </c>
      <c r="E519" s="9"/>
      <c r="F519" s="9"/>
      <c r="G519" s="196">
        <f>'Adjustment for previous period'!G415</f>
        <v>0</v>
      </c>
      <c r="H519" s="112">
        <f t="shared" si="27"/>
        <v>0</v>
      </c>
      <c r="I519" s="112">
        <f t="shared" si="27"/>
        <v>0</v>
      </c>
      <c r="J519" s="112">
        <f t="shared" si="27"/>
        <v>0</v>
      </c>
      <c r="K519" s="112">
        <f t="shared" si="27"/>
        <v>0</v>
      </c>
      <c r="L519" s="112">
        <f t="shared" si="27"/>
        <v>0</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101"/>
      <c r="BE519" s="101"/>
      <c r="BF519" s="101"/>
      <c r="BG519" s="101"/>
      <c r="BH519" s="101"/>
      <c r="BI519" s="101"/>
      <c r="BJ519" s="101"/>
      <c r="BK519" s="12"/>
      <c r="BL519" s="12"/>
    </row>
    <row r="520" spans="1:64" hidden="1" outlineLevel="1">
      <c r="A520" s="9"/>
      <c r="B520" s="9"/>
      <c r="C520" s="46"/>
      <c r="D520" s="130">
        <f>Asset19</f>
        <v>0</v>
      </c>
      <c r="E520" s="9"/>
      <c r="F520" s="9"/>
      <c r="G520" s="196">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101"/>
      <c r="BE520" s="101"/>
      <c r="BF520" s="101"/>
      <c r="BG520" s="101"/>
      <c r="BH520" s="101"/>
      <c r="BI520" s="101"/>
      <c r="BJ520" s="101"/>
      <c r="BK520" s="12"/>
      <c r="BL520" s="12"/>
    </row>
    <row r="521" spans="1:64" hidden="1" outlineLevel="1">
      <c r="A521" s="9"/>
      <c r="B521" s="9"/>
      <c r="C521" s="46"/>
      <c r="D521" s="130">
        <f>Asset20</f>
        <v>0</v>
      </c>
      <c r="E521" s="9"/>
      <c r="F521" s="9"/>
      <c r="G521" s="196">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101"/>
      <c r="BE521" s="101"/>
      <c r="BF521" s="101"/>
      <c r="BG521" s="101"/>
      <c r="BH521" s="101"/>
      <c r="BI521" s="101"/>
      <c r="BJ521" s="101"/>
      <c r="BK521" s="12"/>
      <c r="BL521" s="12"/>
    </row>
    <row r="522" spans="1:64" hidden="1" outlineLevel="1">
      <c r="A522" s="9"/>
      <c r="B522" s="9"/>
      <c r="C522" s="46"/>
      <c r="D522" s="130">
        <f>Asset21</f>
        <v>0</v>
      </c>
      <c r="E522" s="9"/>
      <c r="F522" s="9"/>
      <c r="G522" s="196">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101"/>
      <c r="BE522" s="101"/>
      <c r="BF522" s="101"/>
      <c r="BG522" s="101"/>
      <c r="BH522" s="101"/>
      <c r="BI522" s="101"/>
      <c r="BJ522" s="101"/>
      <c r="BK522" s="12"/>
      <c r="BL522" s="12"/>
    </row>
    <row r="523" spans="1:64" hidden="1" outlineLevel="1">
      <c r="A523" s="9"/>
      <c r="B523" s="9"/>
      <c r="C523" s="46"/>
      <c r="D523" s="130">
        <f>Asset22</f>
        <v>0</v>
      </c>
      <c r="E523" s="9"/>
      <c r="F523" s="9"/>
      <c r="G523" s="196">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101"/>
      <c r="BE523" s="101"/>
      <c r="BF523" s="101"/>
      <c r="BG523" s="101"/>
      <c r="BH523" s="101"/>
      <c r="BI523" s="101"/>
      <c r="BJ523" s="101"/>
      <c r="BK523" s="12"/>
      <c r="BL523" s="12"/>
    </row>
    <row r="524" spans="1:64" hidden="1" outlineLevel="1">
      <c r="A524" s="9"/>
      <c r="B524" s="9"/>
      <c r="C524" s="46"/>
      <c r="D524" s="130">
        <f>Asset23</f>
        <v>0</v>
      </c>
      <c r="E524" s="9"/>
      <c r="F524" s="9"/>
      <c r="G524" s="196">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101"/>
      <c r="BE524" s="101"/>
      <c r="BF524" s="101"/>
      <c r="BG524" s="101"/>
      <c r="BH524" s="101"/>
      <c r="BI524" s="101"/>
      <c r="BJ524" s="101"/>
      <c r="BK524" s="12"/>
      <c r="BL524" s="12"/>
    </row>
    <row r="525" spans="1:64" hidden="1" outlineLevel="1">
      <c r="A525" s="9"/>
      <c r="B525" s="9"/>
      <c r="C525" s="46"/>
      <c r="D525" s="130">
        <f>Asset24</f>
        <v>0</v>
      </c>
      <c r="E525" s="9"/>
      <c r="F525" s="9"/>
      <c r="G525" s="196">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101"/>
      <c r="BE525" s="101"/>
      <c r="BF525" s="101"/>
      <c r="BG525" s="101"/>
      <c r="BH525" s="101"/>
      <c r="BI525" s="101"/>
      <c r="BJ525" s="101"/>
      <c r="BK525" s="12"/>
      <c r="BL525" s="12"/>
    </row>
    <row r="526" spans="1:64" hidden="1" outlineLevel="1">
      <c r="A526" s="9"/>
      <c r="B526" s="9"/>
      <c r="C526" s="46"/>
      <c r="D526" s="130">
        <f>Asset25</f>
        <v>0</v>
      </c>
      <c r="E526" s="9"/>
      <c r="F526" s="9"/>
      <c r="G526" s="196">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1"/>
      <c r="BE526" s="101"/>
      <c r="BF526" s="101"/>
      <c r="BG526" s="101"/>
      <c r="BH526" s="101"/>
      <c r="BI526" s="101"/>
      <c r="BJ526" s="101"/>
      <c r="BK526" s="12"/>
      <c r="BL526" s="12"/>
    </row>
    <row r="527" spans="1:64" hidden="1" outlineLevel="1">
      <c r="A527" s="9"/>
      <c r="B527" s="9"/>
      <c r="C527" s="46"/>
      <c r="D527" s="130">
        <f>Asset26</f>
        <v>0</v>
      </c>
      <c r="E527" s="9"/>
      <c r="F527" s="9"/>
      <c r="G527" s="196">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101"/>
      <c r="BE527" s="101"/>
      <c r="BF527" s="101"/>
      <c r="BG527" s="101"/>
      <c r="BH527" s="101"/>
      <c r="BI527" s="101"/>
      <c r="BJ527" s="101"/>
      <c r="BK527" s="12"/>
      <c r="BL527" s="12"/>
    </row>
    <row r="528" spans="1:64" hidden="1" outlineLevel="1">
      <c r="A528" s="9"/>
      <c r="B528" s="9"/>
      <c r="C528" s="46"/>
      <c r="D528" s="130">
        <f>Asset27</f>
        <v>0</v>
      </c>
      <c r="E528" s="9"/>
      <c r="F528" s="9"/>
      <c r="G528" s="196">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101"/>
      <c r="BE528" s="101"/>
      <c r="BF528" s="101"/>
      <c r="BG528" s="101"/>
      <c r="BH528" s="101"/>
      <c r="BI528" s="101"/>
      <c r="BJ528" s="101"/>
      <c r="BK528" s="12"/>
      <c r="BL528" s="12"/>
    </row>
    <row r="529" spans="1:64" hidden="1" outlineLevel="1">
      <c r="A529" s="9"/>
      <c r="B529" s="9"/>
      <c r="C529" s="46"/>
      <c r="D529" s="130">
        <f>Asset28</f>
        <v>0</v>
      </c>
      <c r="E529" s="9"/>
      <c r="F529" s="9"/>
      <c r="G529" s="196">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101"/>
      <c r="BE529" s="101"/>
      <c r="BF529" s="101"/>
      <c r="BG529" s="101"/>
      <c r="BH529" s="101"/>
      <c r="BI529" s="101"/>
      <c r="BJ529" s="101"/>
      <c r="BK529" s="12"/>
      <c r="BL529" s="12"/>
    </row>
    <row r="530" spans="1:64" hidden="1" outlineLevel="1">
      <c r="A530" s="9"/>
      <c r="B530" s="9"/>
      <c r="C530" s="46"/>
      <c r="D530" s="130">
        <f>Asset29</f>
        <v>0</v>
      </c>
      <c r="E530" s="9"/>
      <c r="F530" s="9"/>
      <c r="G530" s="196">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101"/>
      <c r="BE530" s="101"/>
      <c r="BF530" s="101"/>
      <c r="BG530" s="101"/>
      <c r="BH530" s="101"/>
      <c r="BI530" s="101"/>
      <c r="BJ530" s="101"/>
      <c r="BK530" s="12"/>
      <c r="BL530" s="12"/>
    </row>
    <row r="531" spans="1:64" hidden="1" outlineLevel="1">
      <c r="A531" s="9"/>
      <c r="B531" s="9"/>
      <c r="C531" s="46"/>
      <c r="D531" s="130">
        <f>Asset30</f>
        <v>0</v>
      </c>
      <c r="E531" s="9"/>
      <c r="F531" s="9"/>
      <c r="G531" s="196">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101"/>
      <c r="BE531" s="101"/>
      <c r="BF531" s="101"/>
      <c r="BG531" s="101"/>
      <c r="BH531" s="101"/>
      <c r="BI531" s="101"/>
      <c r="BJ531" s="101"/>
      <c r="BK531" s="12"/>
      <c r="BL531" s="12"/>
    </row>
    <row r="532" spans="1:64" collapsed="1">
      <c r="A532" s="9"/>
      <c r="B532" s="9"/>
      <c r="C532" s="46"/>
      <c r="D532" s="130"/>
      <c r="E532" s="9"/>
      <c r="F532" s="9"/>
      <c r="G532" s="200"/>
      <c r="H532" s="112"/>
      <c r="I532" s="112"/>
      <c r="J532" s="112"/>
      <c r="K532" s="112"/>
      <c r="L532" s="112"/>
      <c r="M532" s="112"/>
      <c r="N532" s="29"/>
      <c r="O532" s="29"/>
      <c r="P532" s="29"/>
      <c r="Q532" s="29"/>
      <c r="R532" s="29"/>
      <c r="S532" s="101"/>
      <c r="T532" s="101"/>
      <c r="U532" s="101"/>
      <c r="V532" s="101"/>
      <c r="W532" s="101"/>
      <c r="X532" s="101"/>
      <c r="Y532" s="101"/>
      <c r="Z532" s="101"/>
      <c r="AA532" s="101"/>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101"/>
      <c r="BE532" s="101"/>
      <c r="BF532" s="101"/>
      <c r="BG532" s="101"/>
      <c r="BH532" s="101"/>
      <c r="BI532" s="101"/>
      <c r="BJ532" s="101"/>
      <c r="BK532" s="12"/>
      <c r="BL532" s="12"/>
    </row>
    <row r="533" spans="1:64">
      <c r="A533" s="9"/>
      <c r="B533" s="9"/>
      <c r="C533" s="46" t="s">
        <v>53</v>
      </c>
      <c r="D533" s="114"/>
      <c r="E533" s="9"/>
      <c r="F533" s="9"/>
      <c r="G533" s="199">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101"/>
      <c r="BE533" s="101"/>
      <c r="BF533" s="101"/>
      <c r="BG533" s="101"/>
      <c r="BH533" s="101"/>
      <c r="BI533" s="101"/>
      <c r="BJ533" s="101"/>
      <c r="BK533" s="12"/>
      <c r="BL533" s="12"/>
    </row>
    <row r="534" spans="1:64" hidden="1" outlineLevel="1">
      <c r="A534" s="9"/>
      <c r="B534" s="9"/>
      <c r="C534" s="9"/>
      <c r="D534" s="130" t="str">
        <f>Asset1</f>
        <v>Subtransmission</v>
      </c>
      <c r="E534" s="9"/>
      <c r="F534" s="9"/>
      <c r="G534" s="196">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101"/>
      <c r="BE534" s="101"/>
      <c r="BF534" s="101"/>
      <c r="BG534" s="101"/>
      <c r="BH534" s="101"/>
      <c r="BI534" s="101"/>
      <c r="BJ534" s="101"/>
      <c r="BK534" s="12"/>
      <c r="BL534" s="12"/>
    </row>
    <row r="535" spans="1:64" hidden="1" outlineLevel="1">
      <c r="A535" s="9"/>
      <c r="B535" s="9"/>
      <c r="C535" s="46"/>
      <c r="D535" s="130" t="str">
        <f>Asset2</f>
        <v>Distribution system assets</v>
      </c>
      <c r="E535" s="9"/>
      <c r="F535" s="9"/>
      <c r="G535" s="196">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101"/>
      <c r="BE535" s="101"/>
      <c r="BF535" s="101"/>
      <c r="BG535" s="101"/>
      <c r="BH535" s="101"/>
      <c r="BI535" s="101"/>
      <c r="BJ535" s="101"/>
      <c r="BK535" s="12"/>
      <c r="BL535" s="12"/>
    </row>
    <row r="536" spans="1:64" hidden="1" outlineLevel="1">
      <c r="A536" s="9"/>
      <c r="B536" s="9"/>
      <c r="C536" s="46"/>
      <c r="D536" s="130" t="str">
        <f>Asset3</f>
        <v>Standard metering</v>
      </c>
      <c r="E536" s="9"/>
      <c r="F536" s="9"/>
      <c r="G536" s="196">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101"/>
      <c r="BE536" s="101"/>
      <c r="BF536" s="101"/>
      <c r="BG536" s="101"/>
      <c r="BH536" s="101"/>
      <c r="BI536" s="101"/>
      <c r="BJ536" s="101"/>
      <c r="BK536" s="12"/>
      <c r="BL536" s="12"/>
    </row>
    <row r="537" spans="1:64" hidden="1" outlineLevel="1">
      <c r="A537" s="9"/>
      <c r="B537" s="9"/>
      <c r="C537" s="46"/>
      <c r="D537" s="130" t="str">
        <f>Asset4</f>
        <v>Public lighting</v>
      </c>
      <c r="E537" s="9"/>
      <c r="F537" s="9"/>
      <c r="G537" s="196">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101"/>
      <c r="BE537" s="101"/>
      <c r="BF537" s="101"/>
      <c r="BG537" s="101"/>
      <c r="BH537" s="101"/>
      <c r="BI537" s="101"/>
      <c r="BJ537" s="101"/>
      <c r="BK537" s="12"/>
      <c r="BL537" s="12"/>
    </row>
    <row r="538" spans="1:64" hidden="1" outlineLevel="1">
      <c r="A538" s="9"/>
      <c r="B538" s="9"/>
      <c r="C538" s="46"/>
      <c r="D538" s="130" t="str">
        <f>Asset5</f>
        <v>SCADA/Network control</v>
      </c>
      <c r="E538" s="9"/>
      <c r="F538" s="9"/>
      <c r="G538" s="196">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101"/>
      <c r="BE538" s="101"/>
      <c r="BF538" s="101"/>
      <c r="BG538" s="101"/>
      <c r="BH538" s="101"/>
      <c r="BI538" s="101"/>
      <c r="BJ538" s="101"/>
      <c r="BK538" s="12"/>
      <c r="BL538" s="12"/>
    </row>
    <row r="539" spans="1:64" hidden="1" outlineLevel="1">
      <c r="A539" s="9"/>
      <c r="B539" s="9"/>
      <c r="C539" s="46"/>
      <c r="D539" s="130" t="str">
        <f>Asset6</f>
        <v>Non-network general assets - IT</v>
      </c>
      <c r="E539" s="9"/>
      <c r="F539" s="9"/>
      <c r="G539" s="196">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1"/>
      <c r="BE539" s="101"/>
      <c r="BF539" s="101"/>
      <c r="BG539" s="101"/>
      <c r="BH539" s="101"/>
      <c r="BI539" s="101"/>
      <c r="BJ539" s="101"/>
      <c r="BK539" s="12"/>
      <c r="BL539" s="12"/>
    </row>
    <row r="540" spans="1:64" hidden="1" outlineLevel="1">
      <c r="A540" s="9"/>
      <c r="B540" s="9"/>
      <c r="C540" s="46"/>
      <c r="D540" s="130" t="str">
        <f>Asset7</f>
        <v>Non-network general assets - Other</v>
      </c>
      <c r="E540" s="9"/>
      <c r="F540" s="9"/>
      <c r="G540" s="196">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101"/>
      <c r="BE540" s="101"/>
      <c r="BF540" s="101"/>
      <c r="BG540" s="101"/>
      <c r="BH540" s="101"/>
      <c r="BI540" s="101"/>
      <c r="BJ540" s="101"/>
      <c r="BK540" s="12"/>
      <c r="BL540" s="12"/>
    </row>
    <row r="541" spans="1:64" hidden="1" outlineLevel="1">
      <c r="A541" s="9"/>
      <c r="B541" s="9"/>
      <c r="C541" s="46"/>
      <c r="D541" s="130" t="str">
        <f>Asset8</f>
        <v>VBRC</v>
      </c>
      <c r="E541" s="9"/>
      <c r="F541" s="9"/>
      <c r="G541" s="196">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101"/>
      <c r="BE541" s="101"/>
      <c r="BF541" s="101"/>
      <c r="BG541" s="101"/>
      <c r="BH541" s="101"/>
      <c r="BI541" s="101"/>
      <c r="BJ541" s="101"/>
      <c r="BK541" s="12"/>
      <c r="BL541" s="12"/>
    </row>
    <row r="542" spans="1:64" hidden="1" outlineLevel="1">
      <c r="A542" s="9"/>
      <c r="B542" s="9"/>
      <c r="C542" s="46"/>
      <c r="D542" s="130" t="str">
        <f>Asset9</f>
        <v>Equity raising</v>
      </c>
      <c r="E542" s="9"/>
      <c r="F542" s="9"/>
      <c r="G542" s="196">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101"/>
      <c r="BE542" s="101"/>
      <c r="BF542" s="101"/>
      <c r="BG542" s="101"/>
      <c r="BH542" s="101"/>
      <c r="BI542" s="101"/>
      <c r="BJ542" s="101"/>
      <c r="BK542" s="12"/>
      <c r="BL542" s="12"/>
    </row>
    <row r="543" spans="1:64" hidden="1" outlineLevel="1">
      <c r="A543" s="9"/>
      <c r="B543" s="9"/>
      <c r="C543" s="46"/>
      <c r="D543" s="130">
        <f>Asset10</f>
        <v>0</v>
      </c>
      <c r="E543" s="9"/>
      <c r="F543" s="9"/>
      <c r="G543" s="196">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101"/>
      <c r="BE543" s="101"/>
      <c r="BF543" s="101"/>
      <c r="BG543" s="101"/>
      <c r="BH543" s="101"/>
      <c r="BI543" s="101"/>
      <c r="BJ543" s="101"/>
      <c r="BK543" s="12"/>
      <c r="BL543" s="12"/>
    </row>
    <row r="544" spans="1:64" hidden="1" outlineLevel="1">
      <c r="A544" s="9"/>
      <c r="B544" s="9"/>
      <c r="C544" s="46"/>
      <c r="D544" s="130">
        <f>Asset11</f>
        <v>0</v>
      </c>
      <c r="E544" s="9"/>
      <c r="F544" s="9"/>
      <c r="G544" s="196">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101"/>
      <c r="BE544" s="101"/>
      <c r="BF544" s="101"/>
      <c r="BG544" s="101"/>
      <c r="BH544" s="101"/>
      <c r="BI544" s="101"/>
      <c r="BJ544" s="101"/>
      <c r="BK544" s="12"/>
      <c r="BL544" s="12"/>
    </row>
    <row r="545" spans="1:64" hidden="1" outlineLevel="1">
      <c r="A545" s="9"/>
      <c r="B545" s="9"/>
      <c r="C545" s="46"/>
      <c r="D545" s="130">
        <f>Asset12</f>
        <v>0</v>
      </c>
      <c r="E545" s="9"/>
      <c r="F545" s="9"/>
      <c r="G545" s="196">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101"/>
      <c r="BE545" s="101"/>
      <c r="BF545" s="101"/>
      <c r="BG545" s="101"/>
      <c r="BH545" s="101"/>
      <c r="BI545" s="101"/>
      <c r="BJ545" s="101"/>
      <c r="BK545" s="12"/>
      <c r="BL545" s="12"/>
    </row>
    <row r="546" spans="1:64" hidden="1" outlineLevel="1">
      <c r="A546" s="9"/>
      <c r="B546" s="9"/>
      <c r="C546" s="46"/>
      <c r="D546" s="130">
        <f>Asset13</f>
        <v>0</v>
      </c>
      <c r="E546" s="9"/>
      <c r="F546" s="9"/>
      <c r="G546" s="196">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101"/>
      <c r="BE546" s="101"/>
      <c r="BF546" s="101"/>
      <c r="BG546" s="101"/>
      <c r="BH546" s="101"/>
      <c r="BI546" s="101"/>
      <c r="BJ546" s="101"/>
      <c r="BK546" s="12"/>
      <c r="BL546" s="12"/>
    </row>
    <row r="547" spans="1:64" hidden="1" outlineLevel="1">
      <c r="A547" s="9"/>
      <c r="B547" s="9"/>
      <c r="C547" s="46"/>
      <c r="D547" s="130">
        <f>Asset14</f>
        <v>0</v>
      </c>
      <c r="E547" s="9"/>
      <c r="F547" s="9"/>
      <c r="G547" s="196">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101"/>
      <c r="BE547" s="101"/>
      <c r="BF547" s="101"/>
      <c r="BG547" s="101"/>
      <c r="BH547" s="101"/>
      <c r="BI547" s="101"/>
      <c r="BJ547" s="101"/>
      <c r="BK547" s="12"/>
      <c r="BL547" s="12"/>
    </row>
    <row r="548" spans="1:64" hidden="1" outlineLevel="1">
      <c r="A548" s="9"/>
      <c r="B548" s="9"/>
      <c r="C548" s="46"/>
      <c r="D548" s="130">
        <f>Asset15</f>
        <v>0</v>
      </c>
      <c r="E548" s="9"/>
      <c r="F548" s="9"/>
      <c r="G548" s="196">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101"/>
      <c r="BE548" s="101"/>
      <c r="BF548" s="101"/>
      <c r="BG548" s="101"/>
      <c r="BH548" s="101"/>
      <c r="BI548" s="101"/>
      <c r="BJ548" s="101"/>
      <c r="BK548" s="12"/>
      <c r="BL548" s="12"/>
    </row>
    <row r="549" spans="1:64" hidden="1" outlineLevel="1">
      <c r="A549" s="9"/>
      <c r="B549" s="9"/>
      <c r="C549" s="46"/>
      <c r="D549" s="130">
        <f>Asset16</f>
        <v>0</v>
      </c>
      <c r="E549" s="9"/>
      <c r="F549" s="9"/>
      <c r="G549" s="196">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101"/>
      <c r="BE549" s="101"/>
      <c r="BF549" s="101"/>
      <c r="BG549" s="101"/>
      <c r="BH549" s="101"/>
      <c r="BI549" s="101"/>
      <c r="BJ549" s="101"/>
      <c r="BK549" s="12"/>
      <c r="BL549" s="12"/>
    </row>
    <row r="550" spans="1:64" hidden="1" outlineLevel="1">
      <c r="A550" s="9"/>
      <c r="B550" s="9"/>
      <c r="C550" s="46"/>
      <c r="D550" s="130">
        <f>Asset17</f>
        <v>0</v>
      </c>
      <c r="E550" s="9"/>
      <c r="F550" s="9"/>
      <c r="G550" s="196">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101"/>
      <c r="BE550" s="101"/>
      <c r="BF550" s="101"/>
      <c r="BG550" s="101"/>
      <c r="BH550" s="101"/>
      <c r="BI550" s="101"/>
      <c r="BJ550" s="101"/>
      <c r="BK550" s="12"/>
      <c r="BL550" s="12"/>
    </row>
    <row r="551" spans="1:64" hidden="1" outlineLevel="1">
      <c r="A551" s="9"/>
      <c r="B551" s="9"/>
      <c r="C551" s="46"/>
      <c r="D551" s="130">
        <f>Asset18</f>
        <v>0</v>
      </c>
      <c r="E551" s="9"/>
      <c r="F551" s="9"/>
      <c r="G551" s="196">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101"/>
      <c r="BE551" s="101"/>
      <c r="BF551" s="101"/>
      <c r="BG551" s="101"/>
      <c r="BH551" s="101"/>
      <c r="BI551" s="101"/>
      <c r="BJ551" s="101"/>
      <c r="BK551" s="12"/>
      <c r="BL551" s="12"/>
    </row>
    <row r="552" spans="1:64" hidden="1" outlineLevel="1">
      <c r="A552" s="9"/>
      <c r="B552" s="9"/>
      <c r="C552" s="46"/>
      <c r="D552" s="130">
        <f>Asset19</f>
        <v>0</v>
      </c>
      <c r="E552" s="9"/>
      <c r="F552" s="9"/>
      <c r="G552" s="196">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1"/>
      <c r="BE552" s="101"/>
      <c r="BF552" s="101"/>
      <c r="BG552" s="101"/>
      <c r="BH552" s="101"/>
      <c r="BI552" s="101"/>
      <c r="BJ552" s="101"/>
      <c r="BK552" s="12"/>
      <c r="BL552" s="12"/>
    </row>
    <row r="553" spans="1:64" hidden="1" outlineLevel="1">
      <c r="A553" s="9"/>
      <c r="B553" s="9"/>
      <c r="C553" s="46"/>
      <c r="D553" s="130">
        <f>Asset20</f>
        <v>0</v>
      </c>
      <c r="E553" s="9"/>
      <c r="F553" s="9"/>
      <c r="G553" s="196">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101"/>
      <c r="BE553" s="101"/>
      <c r="BF553" s="101"/>
      <c r="BG553" s="101"/>
      <c r="BH553" s="101"/>
      <c r="BI553" s="101"/>
      <c r="BJ553" s="101"/>
      <c r="BK553" s="12"/>
      <c r="BL553" s="12"/>
    </row>
    <row r="554" spans="1:64" hidden="1" outlineLevel="1">
      <c r="A554" s="9"/>
      <c r="B554" s="9"/>
      <c r="C554" s="46"/>
      <c r="D554" s="130">
        <f>Asset21</f>
        <v>0</v>
      </c>
      <c r="E554" s="9"/>
      <c r="F554" s="9"/>
      <c r="G554" s="196">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101"/>
      <c r="BE554" s="101"/>
      <c r="BF554" s="101"/>
      <c r="BG554" s="101"/>
      <c r="BH554" s="101"/>
      <c r="BI554" s="101"/>
      <c r="BJ554" s="101"/>
      <c r="BK554" s="12"/>
      <c r="BL554" s="12"/>
    </row>
    <row r="555" spans="1:64" hidden="1" outlineLevel="1">
      <c r="A555" s="9"/>
      <c r="B555" s="9"/>
      <c r="C555" s="46"/>
      <c r="D555" s="130">
        <f>Asset22</f>
        <v>0</v>
      </c>
      <c r="E555" s="9"/>
      <c r="F555" s="9"/>
      <c r="G555" s="196">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101"/>
      <c r="BE555" s="101"/>
      <c r="BF555" s="101"/>
      <c r="BG555" s="101"/>
      <c r="BH555" s="101"/>
      <c r="BI555" s="101"/>
      <c r="BJ555" s="101"/>
      <c r="BK555" s="12"/>
      <c r="BL555" s="12"/>
    </row>
    <row r="556" spans="1:64" hidden="1" outlineLevel="1">
      <c r="A556" s="9"/>
      <c r="B556" s="9"/>
      <c r="C556" s="46"/>
      <c r="D556" s="130">
        <f>Asset23</f>
        <v>0</v>
      </c>
      <c r="E556" s="9"/>
      <c r="F556" s="9"/>
      <c r="G556" s="196">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101"/>
      <c r="BE556" s="101"/>
      <c r="BF556" s="101"/>
      <c r="BG556" s="101"/>
      <c r="BH556" s="101"/>
      <c r="BI556" s="101"/>
      <c r="BJ556" s="101"/>
      <c r="BK556" s="12"/>
      <c r="BL556" s="12"/>
    </row>
    <row r="557" spans="1:64" hidden="1" outlineLevel="1">
      <c r="A557" s="9"/>
      <c r="B557" s="9"/>
      <c r="C557" s="46"/>
      <c r="D557" s="130">
        <f>Asset24</f>
        <v>0</v>
      </c>
      <c r="E557" s="9"/>
      <c r="F557" s="9"/>
      <c r="G557" s="196">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101"/>
      <c r="BE557" s="101"/>
      <c r="BF557" s="101"/>
      <c r="BG557" s="101"/>
      <c r="BH557" s="101"/>
      <c r="BI557" s="101"/>
      <c r="BJ557" s="101"/>
      <c r="BK557" s="12"/>
      <c r="BL557" s="12"/>
    </row>
    <row r="558" spans="1:64" hidden="1" outlineLevel="1">
      <c r="A558" s="9"/>
      <c r="B558" s="9"/>
      <c r="C558" s="46"/>
      <c r="D558" s="130">
        <f>Asset25</f>
        <v>0</v>
      </c>
      <c r="E558" s="9"/>
      <c r="F558" s="9"/>
      <c r="G558" s="196">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101"/>
      <c r="BE558" s="101"/>
      <c r="BF558" s="101"/>
      <c r="BG558" s="101"/>
      <c r="BH558" s="101"/>
      <c r="BI558" s="101"/>
      <c r="BJ558" s="101"/>
      <c r="BK558" s="12"/>
      <c r="BL558" s="12"/>
    </row>
    <row r="559" spans="1:64" hidden="1" outlineLevel="1">
      <c r="A559" s="9"/>
      <c r="B559" s="9"/>
      <c r="C559" s="46"/>
      <c r="D559" s="130">
        <f>Asset26</f>
        <v>0</v>
      </c>
      <c r="E559" s="9"/>
      <c r="F559" s="9"/>
      <c r="G559" s="196">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101"/>
      <c r="BE559" s="101"/>
      <c r="BF559" s="101"/>
      <c r="BG559" s="101"/>
      <c r="BH559" s="101"/>
      <c r="BI559" s="101"/>
      <c r="BJ559" s="101"/>
      <c r="BK559" s="12"/>
      <c r="BL559" s="12"/>
    </row>
    <row r="560" spans="1:64" hidden="1" outlineLevel="1">
      <c r="A560" s="9"/>
      <c r="B560" s="9"/>
      <c r="C560" s="46"/>
      <c r="D560" s="130">
        <f>Asset27</f>
        <v>0</v>
      </c>
      <c r="E560" s="9"/>
      <c r="F560" s="9"/>
      <c r="G560" s="196">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101"/>
      <c r="BE560" s="101"/>
      <c r="BF560" s="101"/>
      <c r="BG560" s="101"/>
      <c r="BH560" s="101"/>
      <c r="BI560" s="101"/>
      <c r="BJ560" s="101"/>
      <c r="BK560" s="12"/>
      <c r="BL560" s="12"/>
    </row>
    <row r="561" spans="1:64" hidden="1" outlineLevel="1">
      <c r="A561" s="9"/>
      <c r="B561" s="9"/>
      <c r="C561" s="46"/>
      <c r="D561" s="130">
        <f>Asset28</f>
        <v>0</v>
      </c>
      <c r="E561" s="9"/>
      <c r="F561" s="9"/>
      <c r="G561" s="196">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101"/>
      <c r="BE561" s="101"/>
      <c r="BF561" s="101"/>
      <c r="BG561" s="101"/>
      <c r="BH561" s="101"/>
      <c r="BI561" s="101"/>
      <c r="BJ561" s="101"/>
      <c r="BK561" s="12"/>
      <c r="BL561" s="12"/>
    </row>
    <row r="562" spans="1:64" hidden="1" outlineLevel="1">
      <c r="A562" s="9"/>
      <c r="B562" s="9"/>
      <c r="C562" s="46"/>
      <c r="D562" s="130">
        <f>Asset29</f>
        <v>0</v>
      </c>
      <c r="E562" s="9"/>
      <c r="F562" s="9"/>
      <c r="G562" s="196">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101"/>
      <c r="BE562" s="101"/>
      <c r="BF562" s="101"/>
      <c r="BG562" s="101"/>
      <c r="BH562" s="101"/>
      <c r="BI562" s="101"/>
      <c r="BJ562" s="101"/>
      <c r="BK562" s="12"/>
      <c r="BL562" s="12"/>
    </row>
    <row r="563" spans="1:64" hidden="1" outlineLevel="1">
      <c r="A563" s="9"/>
      <c r="B563" s="9"/>
      <c r="C563" s="46"/>
      <c r="D563" s="130">
        <f>Asset30</f>
        <v>0</v>
      </c>
      <c r="E563" s="9"/>
      <c r="F563" s="9"/>
      <c r="G563" s="196">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101"/>
      <c r="BE563" s="101"/>
      <c r="BF563" s="101"/>
      <c r="BG563" s="101"/>
      <c r="BH563" s="101"/>
      <c r="BI563" s="101"/>
      <c r="BJ563" s="101"/>
      <c r="BK563" s="12"/>
      <c r="BL563" s="12"/>
    </row>
    <row r="564" spans="1:64" collapsed="1">
      <c r="A564" s="9"/>
      <c r="B564" s="9"/>
      <c r="C564" s="46"/>
      <c r="D564" s="114"/>
      <c r="E564" s="9"/>
      <c r="F564" s="9"/>
      <c r="G564" s="200"/>
      <c r="H564" s="37"/>
      <c r="I564" s="37"/>
      <c r="J564" s="37"/>
      <c r="K564" s="37"/>
      <c r="L564" s="37"/>
      <c r="M564" s="37"/>
      <c r="N564" s="29"/>
      <c r="O564" s="29"/>
      <c r="P564" s="29"/>
      <c r="Q564" s="29"/>
      <c r="R564" s="29"/>
      <c r="S564" s="101"/>
      <c r="T564" s="101"/>
      <c r="U564" s="101"/>
      <c r="V564" s="101"/>
      <c r="W564" s="101"/>
      <c r="X564" s="101"/>
      <c r="Y564" s="101"/>
      <c r="Z564" s="101"/>
      <c r="AA564" s="101"/>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101"/>
      <c r="BE564" s="101"/>
      <c r="BF564" s="101"/>
      <c r="BG564" s="101"/>
      <c r="BH564" s="101"/>
      <c r="BI564" s="101"/>
      <c r="BJ564" s="101"/>
      <c r="BK564" s="12"/>
      <c r="BL564" s="12"/>
    </row>
    <row r="565" spans="1:64">
      <c r="A565" s="9"/>
      <c r="B565" s="9"/>
      <c r="C565" s="46" t="s">
        <v>65</v>
      </c>
      <c r="D565" s="114"/>
      <c r="E565" s="9"/>
      <c r="F565" s="9"/>
      <c r="G565" s="199">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1"/>
      <c r="BE565" s="101"/>
      <c r="BF565" s="101"/>
      <c r="BG565" s="101"/>
      <c r="BH565" s="101"/>
      <c r="BI565" s="101"/>
      <c r="BJ565" s="101"/>
      <c r="BK565" s="12"/>
      <c r="BL565" s="12"/>
    </row>
    <row r="566" spans="1:64" hidden="1" outlineLevel="1">
      <c r="A566" s="9"/>
      <c r="B566" s="9"/>
      <c r="C566" s="9"/>
      <c r="D566" s="130" t="str">
        <f>Asset1</f>
        <v>Subtransmission</v>
      </c>
      <c r="E566" s="9"/>
      <c r="F566" s="9"/>
      <c r="G566" s="196">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101"/>
      <c r="BE566" s="101"/>
      <c r="BF566" s="101"/>
      <c r="BG566" s="101"/>
      <c r="BH566" s="101"/>
      <c r="BI566" s="101"/>
      <c r="BJ566" s="101"/>
      <c r="BK566" s="12"/>
      <c r="BL566" s="12"/>
    </row>
    <row r="567" spans="1:64" hidden="1" outlineLevel="1">
      <c r="A567" s="9"/>
      <c r="B567" s="9"/>
      <c r="C567" s="46"/>
      <c r="D567" s="130" t="str">
        <f>Asset2</f>
        <v>Distribution system assets</v>
      </c>
      <c r="E567" s="9"/>
      <c r="F567" s="9"/>
      <c r="G567" s="196">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101"/>
      <c r="BE567" s="101"/>
      <c r="BF567" s="101"/>
      <c r="BG567" s="101"/>
      <c r="BH567" s="101"/>
      <c r="BI567" s="101"/>
      <c r="BJ567" s="101"/>
      <c r="BK567" s="12"/>
      <c r="BL567" s="12"/>
    </row>
    <row r="568" spans="1:64" hidden="1" outlineLevel="1">
      <c r="A568" s="9"/>
      <c r="B568" s="9"/>
      <c r="C568" s="46"/>
      <c r="D568" s="130" t="str">
        <f>Asset3</f>
        <v>Standard metering</v>
      </c>
      <c r="E568" s="9"/>
      <c r="F568" s="9"/>
      <c r="G568" s="196">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101"/>
      <c r="BE568" s="101"/>
      <c r="BF568" s="101"/>
      <c r="BG568" s="101"/>
      <c r="BH568" s="101"/>
      <c r="BI568" s="101"/>
      <c r="BJ568" s="101"/>
      <c r="BK568" s="12"/>
      <c r="BL568" s="12"/>
    </row>
    <row r="569" spans="1:64" hidden="1" outlineLevel="1">
      <c r="A569" s="9"/>
      <c r="B569" s="9"/>
      <c r="C569" s="46"/>
      <c r="D569" s="130" t="str">
        <f>Asset4</f>
        <v>Public lighting</v>
      </c>
      <c r="E569" s="9"/>
      <c r="F569" s="9"/>
      <c r="G569" s="196">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101"/>
      <c r="BE569" s="101"/>
      <c r="BF569" s="101"/>
      <c r="BG569" s="101"/>
      <c r="BH569" s="101"/>
      <c r="BI569" s="101"/>
      <c r="BJ569" s="101"/>
      <c r="BK569" s="12"/>
      <c r="BL569" s="12"/>
    </row>
    <row r="570" spans="1:64" hidden="1" outlineLevel="1">
      <c r="A570" s="9"/>
      <c r="B570" s="9"/>
      <c r="C570" s="46"/>
      <c r="D570" s="130" t="str">
        <f>Asset5</f>
        <v>SCADA/Network control</v>
      </c>
      <c r="E570" s="9"/>
      <c r="F570" s="9"/>
      <c r="G570" s="196">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101"/>
      <c r="BE570" s="101"/>
      <c r="BF570" s="101"/>
      <c r="BG570" s="101"/>
      <c r="BH570" s="101"/>
      <c r="BI570" s="101"/>
      <c r="BJ570" s="101"/>
      <c r="BK570" s="12"/>
      <c r="BL570" s="12"/>
    </row>
    <row r="571" spans="1:64" hidden="1" outlineLevel="1">
      <c r="A571" s="9"/>
      <c r="B571" s="9"/>
      <c r="C571" s="46"/>
      <c r="D571" s="130" t="str">
        <f>Asset6</f>
        <v>Non-network general assets - IT</v>
      </c>
      <c r="E571" s="9"/>
      <c r="F571" s="9"/>
      <c r="G571" s="196">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101"/>
      <c r="BE571" s="101"/>
      <c r="BF571" s="101"/>
      <c r="BG571" s="101"/>
      <c r="BH571" s="101"/>
      <c r="BI571" s="101"/>
      <c r="BJ571" s="101"/>
      <c r="BK571" s="12"/>
      <c r="BL571" s="12"/>
    </row>
    <row r="572" spans="1:64" hidden="1" outlineLevel="1">
      <c r="A572" s="9"/>
      <c r="B572" s="9"/>
      <c r="C572" s="46"/>
      <c r="D572" s="130" t="str">
        <f>Asset7</f>
        <v>Non-network general assets - Other</v>
      </c>
      <c r="E572" s="9"/>
      <c r="F572" s="9"/>
      <c r="G572" s="196">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101"/>
      <c r="BE572" s="101"/>
      <c r="BF572" s="101"/>
      <c r="BG572" s="101"/>
      <c r="BH572" s="101"/>
      <c r="BI572" s="101"/>
      <c r="BJ572" s="101"/>
      <c r="BK572" s="12"/>
      <c r="BL572" s="12"/>
    </row>
    <row r="573" spans="1:64" hidden="1" outlineLevel="1">
      <c r="A573" s="9"/>
      <c r="B573" s="9"/>
      <c r="C573" s="46"/>
      <c r="D573" s="130" t="str">
        <f>Asset8</f>
        <v>VBRC</v>
      </c>
      <c r="E573" s="9"/>
      <c r="F573" s="9"/>
      <c r="G573" s="196">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101"/>
      <c r="BE573" s="101"/>
      <c r="BF573" s="101"/>
      <c r="BG573" s="101"/>
      <c r="BH573" s="101"/>
      <c r="BI573" s="101"/>
      <c r="BJ573" s="101"/>
      <c r="BK573" s="12"/>
      <c r="BL573" s="12"/>
    </row>
    <row r="574" spans="1:64" hidden="1" outlineLevel="1">
      <c r="A574" s="9"/>
      <c r="B574" s="9"/>
      <c r="C574" s="46"/>
      <c r="D574" s="130" t="str">
        <f>Asset9</f>
        <v>Equity raising</v>
      </c>
      <c r="E574" s="9"/>
      <c r="F574" s="9"/>
      <c r="G574" s="196">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101"/>
      <c r="BE574" s="101"/>
      <c r="BF574" s="101"/>
      <c r="BG574" s="101"/>
      <c r="BH574" s="101"/>
      <c r="BI574" s="101"/>
      <c r="BJ574" s="101"/>
      <c r="BK574" s="12"/>
      <c r="BL574" s="12"/>
    </row>
    <row r="575" spans="1:64" hidden="1" outlineLevel="1">
      <c r="A575" s="9"/>
      <c r="B575" s="9"/>
      <c r="C575" s="46"/>
      <c r="D575" s="130">
        <f>Asset10</f>
        <v>0</v>
      </c>
      <c r="E575" s="9"/>
      <c r="F575" s="9"/>
      <c r="G575" s="196">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101"/>
      <c r="BE575" s="101"/>
      <c r="BF575" s="101"/>
      <c r="BG575" s="101"/>
      <c r="BH575" s="101"/>
      <c r="BI575" s="101"/>
      <c r="BJ575" s="101"/>
      <c r="BK575" s="12"/>
      <c r="BL575" s="12"/>
    </row>
    <row r="576" spans="1:64" hidden="1" outlineLevel="1">
      <c r="A576" s="9"/>
      <c r="B576" s="9"/>
      <c r="C576" s="46"/>
      <c r="D576" s="130">
        <f>Asset11</f>
        <v>0</v>
      </c>
      <c r="E576" s="9"/>
      <c r="F576" s="9"/>
      <c r="G576" s="196">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101"/>
      <c r="BE576" s="101"/>
      <c r="BF576" s="101"/>
      <c r="BG576" s="101"/>
      <c r="BH576" s="101"/>
      <c r="BI576" s="101"/>
      <c r="BJ576" s="101"/>
      <c r="BK576" s="12"/>
      <c r="BL576" s="12"/>
    </row>
    <row r="577" spans="1:64" hidden="1" outlineLevel="1">
      <c r="A577" s="9"/>
      <c r="B577" s="9"/>
      <c r="C577" s="46"/>
      <c r="D577" s="130">
        <f>Asset12</f>
        <v>0</v>
      </c>
      <c r="E577" s="9"/>
      <c r="F577" s="9"/>
      <c r="G577" s="196">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101"/>
      <c r="BE577" s="101"/>
      <c r="BF577" s="101"/>
      <c r="BG577" s="101"/>
      <c r="BH577" s="101"/>
      <c r="BI577" s="101"/>
      <c r="BJ577" s="101"/>
      <c r="BK577" s="12"/>
      <c r="BL577" s="12"/>
    </row>
    <row r="578" spans="1:64" hidden="1" outlineLevel="1">
      <c r="A578" s="9"/>
      <c r="B578" s="9"/>
      <c r="C578" s="46"/>
      <c r="D578" s="130">
        <f>Asset13</f>
        <v>0</v>
      </c>
      <c r="E578" s="9"/>
      <c r="F578" s="9"/>
      <c r="G578" s="196">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1"/>
      <c r="BE578" s="101"/>
      <c r="BF578" s="101"/>
      <c r="BG578" s="101"/>
      <c r="BH578" s="101"/>
      <c r="BI578" s="101"/>
      <c r="BJ578" s="101"/>
      <c r="BK578" s="12"/>
      <c r="BL578" s="12"/>
    </row>
    <row r="579" spans="1:64" hidden="1" outlineLevel="1">
      <c r="A579" s="9"/>
      <c r="B579" s="9"/>
      <c r="C579" s="46"/>
      <c r="D579" s="130">
        <f>Asset14</f>
        <v>0</v>
      </c>
      <c r="E579" s="9"/>
      <c r="F579" s="9"/>
      <c r="G579" s="196">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101"/>
      <c r="BE579" s="101"/>
      <c r="BF579" s="101"/>
      <c r="BG579" s="101"/>
      <c r="BH579" s="101"/>
      <c r="BI579" s="101"/>
      <c r="BJ579" s="101"/>
      <c r="BK579" s="12"/>
      <c r="BL579" s="12"/>
    </row>
    <row r="580" spans="1:64" hidden="1" outlineLevel="1">
      <c r="A580" s="9"/>
      <c r="B580" s="9"/>
      <c r="C580" s="46"/>
      <c r="D580" s="130">
        <f>Asset15</f>
        <v>0</v>
      </c>
      <c r="E580" s="9"/>
      <c r="F580" s="9"/>
      <c r="G580" s="196">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101"/>
      <c r="BE580" s="101"/>
      <c r="BF580" s="101"/>
      <c r="BG580" s="101"/>
      <c r="BH580" s="101"/>
      <c r="BI580" s="101"/>
      <c r="BJ580" s="101"/>
      <c r="BK580" s="12"/>
      <c r="BL580" s="12"/>
    </row>
    <row r="581" spans="1:64" hidden="1" outlineLevel="1">
      <c r="A581" s="9"/>
      <c r="B581" s="9"/>
      <c r="C581" s="46"/>
      <c r="D581" s="130">
        <f>Asset16</f>
        <v>0</v>
      </c>
      <c r="E581" s="9"/>
      <c r="F581" s="9"/>
      <c r="G581" s="196">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101"/>
      <c r="BE581" s="101"/>
      <c r="BF581" s="101"/>
      <c r="BG581" s="101"/>
      <c r="BH581" s="101"/>
      <c r="BI581" s="101"/>
      <c r="BJ581" s="101"/>
      <c r="BK581" s="12"/>
      <c r="BL581" s="12"/>
    </row>
    <row r="582" spans="1:64" hidden="1" outlineLevel="1">
      <c r="A582" s="9"/>
      <c r="B582" s="9"/>
      <c r="C582" s="46"/>
      <c r="D582" s="130">
        <f>Asset17</f>
        <v>0</v>
      </c>
      <c r="E582" s="9"/>
      <c r="F582" s="9"/>
      <c r="G582" s="196">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101"/>
      <c r="BE582" s="101"/>
      <c r="BF582" s="101"/>
      <c r="BG582" s="101"/>
      <c r="BH582" s="101"/>
      <c r="BI582" s="101"/>
      <c r="BJ582" s="101"/>
      <c r="BK582" s="12"/>
      <c r="BL582" s="12"/>
    </row>
    <row r="583" spans="1:64" hidden="1" outlineLevel="1">
      <c r="A583" s="9"/>
      <c r="B583" s="9"/>
      <c r="C583" s="46"/>
      <c r="D583" s="130">
        <f>Asset18</f>
        <v>0</v>
      </c>
      <c r="E583" s="9"/>
      <c r="F583" s="9"/>
      <c r="G583" s="196">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101"/>
      <c r="BE583" s="101"/>
      <c r="BF583" s="101"/>
      <c r="BG583" s="101"/>
      <c r="BH583" s="101"/>
      <c r="BI583" s="101"/>
      <c r="BJ583" s="101"/>
      <c r="BK583" s="12"/>
      <c r="BL583" s="12"/>
    </row>
    <row r="584" spans="1:64" hidden="1" outlineLevel="1">
      <c r="A584" s="9"/>
      <c r="B584" s="9"/>
      <c r="C584" s="46"/>
      <c r="D584" s="130">
        <f>Asset19</f>
        <v>0</v>
      </c>
      <c r="E584" s="9"/>
      <c r="F584" s="9"/>
      <c r="G584" s="196">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101"/>
      <c r="BE584" s="101"/>
      <c r="BF584" s="101"/>
      <c r="BG584" s="101"/>
      <c r="BH584" s="101"/>
      <c r="BI584" s="101"/>
      <c r="BJ584" s="101"/>
      <c r="BK584" s="12"/>
      <c r="BL584" s="12"/>
    </row>
    <row r="585" spans="1:64" hidden="1" outlineLevel="1">
      <c r="A585" s="9"/>
      <c r="B585" s="9"/>
      <c r="C585" s="46"/>
      <c r="D585" s="130">
        <f>Asset20</f>
        <v>0</v>
      </c>
      <c r="E585" s="9"/>
      <c r="F585" s="9"/>
      <c r="G585" s="196">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101"/>
      <c r="BE585" s="101"/>
      <c r="BF585" s="101"/>
      <c r="BG585" s="101"/>
      <c r="BH585" s="101"/>
      <c r="BI585" s="101"/>
      <c r="BJ585" s="101"/>
      <c r="BK585" s="12"/>
      <c r="BL585" s="12"/>
    </row>
    <row r="586" spans="1:64" hidden="1" outlineLevel="1">
      <c r="A586" s="9"/>
      <c r="B586" s="9"/>
      <c r="C586" s="46"/>
      <c r="D586" s="130">
        <f>Asset21</f>
        <v>0</v>
      </c>
      <c r="E586" s="9"/>
      <c r="F586" s="9"/>
      <c r="G586" s="196">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101"/>
      <c r="BE586" s="101"/>
      <c r="BF586" s="101"/>
      <c r="BG586" s="101"/>
      <c r="BH586" s="101"/>
      <c r="BI586" s="101"/>
      <c r="BJ586" s="101"/>
      <c r="BK586" s="12"/>
      <c r="BL586" s="12"/>
    </row>
    <row r="587" spans="1:64" hidden="1" outlineLevel="1">
      <c r="A587" s="9"/>
      <c r="B587" s="9"/>
      <c r="C587" s="46"/>
      <c r="D587" s="130">
        <f>Asset22</f>
        <v>0</v>
      </c>
      <c r="E587" s="9"/>
      <c r="F587" s="9"/>
      <c r="G587" s="196">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101"/>
      <c r="BE587" s="101"/>
      <c r="BF587" s="101"/>
      <c r="BG587" s="101"/>
      <c r="BH587" s="101"/>
      <c r="BI587" s="101"/>
      <c r="BJ587" s="101"/>
      <c r="BK587" s="12"/>
      <c r="BL587" s="12"/>
    </row>
    <row r="588" spans="1:64" hidden="1" outlineLevel="1">
      <c r="A588" s="9"/>
      <c r="B588" s="9"/>
      <c r="C588" s="46"/>
      <c r="D588" s="130">
        <f>Asset23</f>
        <v>0</v>
      </c>
      <c r="E588" s="9"/>
      <c r="F588" s="9"/>
      <c r="G588" s="196">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101"/>
      <c r="BE588" s="101"/>
      <c r="BF588" s="101"/>
      <c r="BG588" s="101"/>
      <c r="BH588" s="101"/>
      <c r="BI588" s="101"/>
      <c r="BJ588" s="101"/>
      <c r="BK588" s="12"/>
      <c r="BL588" s="12"/>
    </row>
    <row r="589" spans="1:64" hidden="1" outlineLevel="1">
      <c r="A589" s="9"/>
      <c r="B589" s="9"/>
      <c r="C589" s="46"/>
      <c r="D589" s="130">
        <f>Asset24</f>
        <v>0</v>
      </c>
      <c r="E589" s="9"/>
      <c r="F589" s="9"/>
      <c r="G589" s="196">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101"/>
      <c r="BE589" s="101"/>
      <c r="BF589" s="101"/>
      <c r="BG589" s="101"/>
      <c r="BH589" s="101"/>
      <c r="BI589" s="101"/>
      <c r="BJ589" s="101"/>
      <c r="BK589" s="12"/>
      <c r="BL589" s="12"/>
    </row>
    <row r="590" spans="1:64" hidden="1" outlineLevel="1">
      <c r="A590" s="9"/>
      <c r="B590" s="9"/>
      <c r="C590" s="46"/>
      <c r="D590" s="130">
        <f>Asset25</f>
        <v>0</v>
      </c>
      <c r="E590" s="9"/>
      <c r="F590" s="9"/>
      <c r="G590" s="196">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101"/>
      <c r="BE590" s="101"/>
      <c r="BF590" s="101"/>
      <c r="BG590" s="101"/>
      <c r="BH590" s="101"/>
      <c r="BI590" s="101"/>
      <c r="BJ590" s="101"/>
      <c r="BK590" s="12"/>
      <c r="BL590" s="12"/>
    </row>
    <row r="591" spans="1:64" hidden="1" outlineLevel="1">
      <c r="A591" s="9"/>
      <c r="B591" s="9"/>
      <c r="C591" s="46"/>
      <c r="D591" s="130">
        <f>Asset26</f>
        <v>0</v>
      </c>
      <c r="E591" s="9"/>
      <c r="F591" s="9"/>
      <c r="G591" s="196">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1"/>
      <c r="BE591" s="101"/>
      <c r="BF591" s="101"/>
      <c r="BG591" s="101"/>
      <c r="BH591" s="101"/>
      <c r="BI591" s="101"/>
      <c r="BJ591" s="101"/>
      <c r="BK591" s="12"/>
      <c r="BL591" s="12"/>
    </row>
    <row r="592" spans="1:64" hidden="1" outlineLevel="1">
      <c r="A592" s="9"/>
      <c r="B592" s="9"/>
      <c r="C592" s="46"/>
      <c r="D592" s="130">
        <f>Asset27</f>
        <v>0</v>
      </c>
      <c r="E592" s="9"/>
      <c r="F592" s="9"/>
      <c r="G592" s="196">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101"/>
      <c r="BE592" s="101"/>
      <c r="BF592" s="101"/>
      <c r="BG592" s="101"/>
      <c r="BH592" s="101"/>
      <c r="BI592" s="101"/>
      <c r="BJ592" s="101"/>
      <c r="BK592" s="12"/>
      <c r="BL592" s="12"/>
    </row>
    <row r="593" spans="1:64" hidden="1" outlineLevel="1">
      <c r="A593" s="9"/>
      <c r="B593" s="9"/>
      <c r="C593" s="46"/>
      <c r="D593" s="130">
        <f>Asset28</f>
        <v>0</v>
      </c>
      <c r="E593" s="9"/>
      <c r="F593" s="9"/>
      <c r="G593" s="196">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101"/>
      <c r="BE593" s="101"/>
      <c r="BF593" s="101"/>
      <c r="BG593" s="101"/>
      <c r="BH593" s="101"/>
      <c r="BI593" s="101"/>
      <c r="BJ593" s="101"/>
      <c r="BK593" s="12"/>
      <c r="BL593" s="12"/>
    </row>
    <row r="594" spans="1:64" hidden="1" outlineLevel="1">
      <c r="A594" s="9"/>
      <c r="B594" s="9"/>
      <c r="C594" s="46"/>
      <c r="D594" s="130">
        <f>Asset29</f>
        <v>0</v>
      </c>
      <c r="E594" s="9"/>
      <c r="F594" s="9"/>
      <c r="G594" s="196">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101"/>
      <c r="BE594" s="101"/>
      <c r="BF594" s="101"/>
      <c r="BG594" s="101"/>
      <c r="BH594" s="101"/>
      <c r="BI594" s="101"/>
      <c r="BJ594" s="101"/>
      <c r="BK594" s="12"/>
      <c r="BL594" s="12"/>
    </row>
    <row r="595" spans="1:64" hidden="1" outlineLevel="1">
      <c r="A595" s="9"/>
      <c r="B595" s="9"/>
      <c r="C595" s="46"/>
      <c r="D595" s="130">
        <f>Asset30</f>
        <v>0</v>
      </c>
      <c r="E595" s="9"/>
      <c r="F595" s="9"/>
      <c r="G595" s="196">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101"/>
      <c r="BE595" s="101"/>
      <c r="BF595" s="101"/>
      <c r="BG595" s="101"/>
      <c r="BH595" s="101"/>
      <c r="BI595" s="101"/>
      <c r="BJ595" s="101"/>
      <c r="BK595" s="12"/>
      <c r="BL595" s="12"/>
    </row>
    <row r="596" spans="1:64" collapsed="1">
      <c r="A596" s="9"/>
      <c r="B596" s="9"/>
      <c r="C596" s="46"/>
      <c r="D596" s="114"/>
      <c r="E596" s="9"/>
      <c r="F596" s="9"/>
      <c r="G596" s="200"/>
      <c r="H596" s="37"/>
      <c r="I596" s="37"/>
      <c r="J596" s="37"/>
      <c r="K596" s="37"/>
      <c r="L596" s="37"/>
      <c r="M596" s="37"/>
      <c r="N596" s="29"/>
      <c r="O596" s="29"/>
      <c r="P596" s="29"/>
      <c r="Q596" s="29"/>
      <c r="R596" s="29"/>
      <c r="S596" s="101"/>
      <c r="T596" s="101"/>
      <c r="U596" s="101"/>
      <c r="V596" s="101"/>
      <c r="W596" s="101"/>
      <c r="X596" s="101"/>
      <c r="Y596" s="101"/>
      <c r="Z596" s="101"/>
      <c r="AA596" s="101"/>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101"/>
      <c r="BE596" s="101"/>
      <c r="BF596" s="101"/>
      <c r="BG596" s="101"/>
      <c r="BH596" s="101"/>
      <c r="BI596" s="101"/>
      <c r="BJ596" s="101"/>
      <c r="BK596" s="12"/>
      <c r="BL596" s="12"/>
    </row>
    <row r="597" spans="1:64">
      <c r="A597" s="9"/>
      <c r="B597" s="9"/>
      <c r="C597" s="46" t="s">
        <v>62</v>
      </c>
      <c r="D597" s="130"/>
      <c r="E597" s="9"/>
      <c r="F597" s="9"/>
      <c r="G597" s="199">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101"/>
      <c r="BE597" s="101"/>
      <c r="BF597" s="101"/>
      <c r="BG597" s="101"/>
      <c r="BH597" s="101"/>
      <c r="BI597" s="101"/>
      <c r="BJ597" s="101"/>
      <c r="BK597" s="12"/>
      <c r="BL597" s="12"/>
    </row>
    <row r="598" spans="1:64" hidden="1" outlineLevel="1">
      <c r="A598" s="9"/>
      <c r="B598" s="9"/>
      <c r="C598" s="46"/>
      <c r="D598" s="130" t="str">
        <f>Asset1</f>
        <v>Subtransmission</v>
      </c>
      <c r="E598" s="9"/>
      <c r="F598" s="9"/>
      <c r="G598" s="196">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101"/>
      <c r="BE598" s="101"/>
      <c r="BF598" s="101"/>
      <c r="BG598" s="101"/>
      <c r="BH598" s="101"/>
      <c r="BI598" s="101"/>
      <c r="BJ598" s="101"/>
      <c r="BK598" s="12"/>
      <c r="BL598" s="12"/>
    </row>
    <row r="599" spans="1:64" hidden="1" outlineLevel="1">
      <c r="A599" s="9"/>
      <c r="B599" s="9"/>
      <c r="C599" s="46"/>
      <c r="D599" s="130" t="str">
        <f>Asset2</f>
        <v>Distribution system assets</v>
      </c>
      <c r="E599" s="9"/>
      <c r="F599" s="9"/>
      <c r="G599" s="196">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101"/>
      <c r="BE599" s="101"/>
      <c r="BF599" s="101"/>
      <c r="BG599" s="101"/>
      <c r="BH599" s="101"/>
      <c r="BI599" s="101"/>
      <c r="BJ599" s="101"/>
      <c r="BK599" s="12"/>
      <c r="BL599" s="12"/>
    </row>
    <row r="600" spans="1:64" hidden="1" outlineLevel="1">
      <c r="A600" s="9"/>
      <c r="B600" s="9"/>
      <c r="C600" s="46"/>
      <c r="D600" s="130" t="str">
        <f>Asset3</f>
        <v>Standard metering</v>
      </c>
      <c r="E600" s="9"/>
      <c r="F600" s="9"/>
      <c r="G600" s="196">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101"/>
      <c r="BE600" s="101"/>
      <c r="BF600" s="101"/>
      <c r="BG600" s="101"/>
      <c r="BH600" s="101"/>
      <c r="BI600" s="101"/>
      <c r="BJ600" s="101"/>
      <c r="BK600" s="12"/>
      <c r="BL600" s="12"/>
    </row>
    <row r="601" spans="1:64" hidden="1" outlineLevel="1">
      <c r="A601" s="9"/>
      <c r="B601" s="9"/>
      <c r="C601" s="46"/>
      <c r="D601" s="130" t="str">
        <f>Asset4</f>
        <v>Public lighting</v>
      </c>
      <c r="E601" s="9"/>
      <c r="F601" s="9"/>
      <c r="G601" s="196">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101"/>
      <c r="BE601" s="101"/>
      <c r="BF601" s="101"/>
      <c r="BG601" s="101"/>
      <c r="BH601" s="101"/>
      <c r="BI601" s="101"/>
      <c r="BJ601" s="101"/>
      <c r="BK601" s="12"/>
      <c r="BL601" s="12"/>
    </row>
    <row r="602" spans="1:64" hidden="1" outlineLevel="1">
      <c r="A602" s="9"/>
      <c r="B602" s="9"/>
      <c r="C602" s="46"/>
      <c r="D602" s="130" t="str">
        <f>Asset5</f>
        <v>SCADA/Network control</v>
      </c>
      <c r="E602" s="9"/>
      <c r="F602" s="9"/>
      <c r="G602" s="196">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101"/>
      <c r="BE602" s="101"/>
      <c r="BF602" s="101"/>
      <c r="BG602" s="101"/>
      <c r="BH602" s="101"/>
      <c r="BI602" s="101"/>
      <c r="BJ602" s="101"/>
      <c r="BK602" s="12"/>
      <c r="BL602" s="12"/>
    </row>
    <row r="603" spans="1:64" hidden="1" outlineLevel="1">
      <c r="A603" s="9"/>
      <c r="B603" s="9"/>
      <c r="C603" s="46"/>
      <c r="D603" s="130" t="str">
        <f>Asset6</f>
        <v>Non-network general assets - IT</v>
      </c>
      <c r="E603" s="9"/>
      <c r="F603" s="9"/>
      <c r="G603" s="196">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101"/>
      <c r="BE603" s="101"/>
      <c r="BF603" s="101"/>
      <c r="BG603" s="101"/>
      <c r="BH603" s="101"/>
      <c r="BI603" s="101"/>
      <c r="BJ603" s="101"/>
      <c r="BK603" s="12"/>
      <c r="BL603" s="12"/>
    </row>
    <row r="604" spans="1:64" hidden="1" outlineLevel="1">
      <c r="A604" s="9"/>
      <c r="B604" s="9"/>
      <c r="C604" s="46"/>
      <c r="D604" s="130" t="str">
        <f>Asset7</f>
        <v>Non-network general assets - Other</v>
      </c>
      <c r="E604" s="9"/>
      <c r="F604" s="9"/>
      <c r="G604" s="196">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1"/>
      <c r="BE604" s="101"/>
      <c r="BF604" s="101"/>
      <c r="BG604" s="101"/>
      <c r="BH604" s="101"/>
      <c r="BI604" s="101"/>
      <c r="BJ604" s="101"/>
      <c r="BK604" s="12"/>
      <c r="BL604" s="12"/>
    </row>
    <row r="605" spans="1:64" hidden="1" outlineLevel="1">
      <c r="A605" s="9"/>
      <c r="B605" s="9"/>
      <c r="C605" s="46"/>
      <c r="D605" s="130" t="str">
        <f>Asset8</f>
        <v>VBRC</v>
      </c>
      <c r="E605" s="9"/>
      <c r="F605" s="9"/>
      <c r="G605" s="196">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101"/>
      <c r="BE605" s="101"/>
      <c r="BF605" s="101"/>
      <c r="BG605" s="101"/>
      <c r="BH605" s="101"/>
      <c r="BI605" s="101"/>
      <c r="BJ605" s="101"/>
      <c r="BK605" s="12"/>
      <c r="BL605" s="12"/>
    </row>
    <row r="606" spans="1:64" hidden="1" outlineLevel="1">
      <c r="A606" s="9"/>
      <c r="B606" s="9"/>
      <c r="C606" s="46"/>
      <c r="D606" s="130" t="str">
        <f>Asset9</f>
        <v>Equity raising</v>
      </c>
      <c r="E606" s="9"/>
      <c r="F606" s="9"/>
      <c r="G606" s="196">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101"/>
      <c r="BE606" s="101"/>
      <c r="BF606" s="101"/>
      <c r="BG606" s="101"/>
      <c r="BH606" s="101"/>
      <c r="BI606" s="101"/>
      <c r="BJ606" s="101"/>
      <c r="BK606" s="12"/>
      <c r="BL606" s="12"/>
    </row>
    <row r="607" spans="1:64" hidden="1" outlineLevel="1">
      <c r="A607" s="9"/>
      <c r="B607" s="9"/>
      <c r="C607" s="46"/>
      <c r="D607" s="130">
        <f>Asset10</f>
        <v>0</v>
      </c>
      <c r="E607" s="9"/>
      <c r="F607" s="9"/>
      <c r="G607" s="196">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101"/>
      <c r="BE607" s="101"/>
      <c r="BF607" s="101"/>
      <c r="BG607" s="101"/>
      <c r="BH607" s="101"/>
      <c r="BI607" s="101"/>
      <c r="BJ607" s="101"/>
      <c r="BK607" s="12"/>
      <c r="BL607" s="12"/>
    </row>
    <row r="608" spans="1:64" hidden="1" outlineLevel="1">
      <c r="A608" s="9"/>
      <c r="B608" s="9"/>
      <c r="C608" s="46"/>
      <c r="D608" s="130">
        <f>Asset11</f>
        <v>0</v>
      </c>
      <c r="E608" s="9"/>
      <c r="F608" s="9"/>
      <c r="G608" s="196">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101"/>
      <c r="BE608" s="101"/>
      <c r="BF608" s="101"/>
      <c r="BG608" s="101"/>
      <c r="BH608" s="101"/>
      <c r="BI608" s="101"/>
      <c r="BJ608" s="101"/>
      <c r="BK608" s="12"/>
      <c r="BL608" s="12"/>
    </row>
    <row r="609" spans="1:64" hidden="1" outlineLevel="1">
      <c r="A609" s="9"/>
      <c r="B609" s="9"/>
      <c r="C609" s="46"/>
      <c r="D609" s="130">
        <f>Asset12</f>
        <v>0</v>
      </c>
      <c r="E609" s="9"/>
      <c r="F609" s="9"/>
      <c r="G609" s="196">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101"/>
      <c r="BE609" s="101"/>
      <c r="BF609" s="101"/>
      <c r="BG609" s="101"/>
      <c r="BH609" s="101"/>
      <c r="BI609" s="101"/>
      <c r="BJ609" s="101"/>
      <c r="BK609" s="12"/>
      <c r="BL609" s="12"/>
    </row>
    <row r="610" spans="1:64" hidden="1" outlineLevel="1">
      <c r="A610" s="9"/>
      <c r="B610" s="9"/>
      <c r="C610" s="46"/>
      <c r="D610" s="130">
        <f>Asset13</f>
        <v>0</v>
      </c>
      <c r="E610" s="9"/>
      <c r="F610" s="9"/>
      <c r="G610" s="196">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101"/>
      <c r="BE610" s="101"/>
      <c r="BF610" s="101"/>
      <c r="BG610" s="101"/>
      <c r="BH610" s="101"/>
      <c r="BI610" s="101"/>
      <c r="BJ610" s="101"/>
      <c r="BK610" s="12"/>
      <c r="BL610" s="12"/>
    </row>
    <row r="611" spans="1:64" hidden="1" outlineLevel="1">
      <c r="A611" s="9"/>
      <c r="B611" s="9"/>
      <c r="C611" s="46"/>
      <c r="D611" s="130">
        <f>Asset14</f>
        <v>0</v>
      </c>
      <c r="E611" s="9"/>
      <c r="F611" s="9"/>
      <c r="G611" s="196">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101"/>
      <c r="BE611" s="101"/>
      <c r="BF611" s="101"/>
      <c r="BG611" s="101"/>
      <c r="BH611" s="101"/>
      <c r="BI611" s="101"/>
      <c r="BJ611" s="101"/>
      <c r="BK611" s="12"/>
      <c r="BL611" s="12"/>
    </row>
    <row r="612" spans="1:64" hidden="1" outlineLevel="1">
      <c r="A612" s="9"/>
      <c r="B612" s="9"/>
      <c r="C612" s="46"/>
      <c r="D612" s="130">
        <f>Asset15</f>
        <v>0</v>
      </c>
      <c r="E612" s="9"/>
      <c r="F612" s="9"/>
      <c r="G612" s="196">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101"/>
      <c r="BE612" s="101"/>
      <c r="BF612" s="101"/>
      <c r="BG612" s="101"/>
      <c r="BH612" s="101"/>
      <c r="BI612" s="101"/>
      <c r="BJ612" s="101"/>
      <c r="BK612" s="12"/>
      <c r="BL612" s="12"/>
    </row>
    <row r="613" spans="1:64" hidden="1" outlineLevel="1">
      <c r="A613" s="9"/>
      <c r="B613" s="9"/>
      <c r="C613" s="46"/>
      <c r="D613" s="130">
        <f>Asset16</f>
        <v>0</v>
      </c>
      <c r="E613" s="9"/>
      <c r="F613" s="9"/>
      <c r="G613" s="196">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101"/>
      <c r="BE613" s="101"/>
      <c r="BF613" s="101"/>
      <c r="BG613" s="101"/>
      <c r="BH613" s="101"/>
      <c r="BI613" s="101"/>
      <c r="BJ613" s="101"/>
      <c r="BK613" s="12"/>
      <c r="BL613" s="12"/>
    </row>
    <row r="614" spans="1:64" hidden="1" outlineLevel="1">
      <c r="A614" s="9"/>
      <c r="B614" s="9"/>
      <c r="C614" s="46"/>
      <c r="D614" s="130">
        <f>Asset17</f>
        <v>0</v>
      </c>
      <c r="E614" s="9"/>
      <c r="F614" s="9"/>
      <c r="G614" s="196">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101"/>
      <c r="BE614" s="101"/>
      <c r="BF614" s="101"/>
      <c r="BG614" s="101"/>
      <c r="BH614" s="101"/>
      <c r="BI614" s="101"/>
      <c r="BJ614" s="101"/>
      <c r="BK614" s="12"/>
      <c r="BL614" s="12"/>
    </row>
    <row r="615" spans="1:64" hidden="1" outlineLevel="1">
      <c r="A615" s="9"/>
      <c r="B615" s="9"/>
      <c r="C615" s="46"/>
      <c r="D615" s="130">
        <f>Asset18</f>
        <v>0</v>
      </c>
      <c r="E615" s="9"/>
      <c r="F615" s="9"/>
      <c r="G615" s="196">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101"/>
      <c r="BE615" s="101"/>
      <c r="BF615" s="101"/>
      <c r="BG615" s="101"/>
      <c r="BH615" s="101"/>
      <c r="BI615" s="101"/>
      <c r="BJ615" s="101"/>
      <c r="BK615" s="12"/>
      <c r="BL615" s="12"/>
    </row>
    <row r="616" spans="1:64" hidden="1" outlineLevel="1">
      <c r="A616" s="9"/>
      <c r="B616" s="9"/>
      <c r="C616" s="46"/>
      <c r="D616" s="130">
        <f>Asset19</f>
        <v>0</v>
      </c>
      <c r="E616" s="9"/>
      <c r="F616" s="9"/>
      <c r="G616" s="196">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101"/>
      <c r="BE616" s="101"/>
      <c r="BF616" s="101"/>
      <c r="BG616" s="101"/>
      <c r="BH616" s="101"/>
      <c r="BI616" s="101"/>
      <c r="BJ616" s="101"/>
      <c r="BK616" s="12"/>
      <c r="BL616" s="12"/>
    </row>
    <row r="617" spans="1:64" hidden="1" outlineLevel="1">
      <c r="A617" s="9"/>
      <c r="B617" s="9"/>
      <c r="C617" s="46"/>
      <c r="D617" s="130">
        <f>Asset20</f>
        <v>0</v>
      </c>
      <c r="E617" s="9"/>
      <c r="F617" s="9"/>
      <c r="G617" s="196">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1"/>
      <c r="BE617" s="101"/>
      <c r="BF617" s="101"/>
      <c r="BG617" s="101"/>
      <c r="BH617" s="101"/>
      <c r="BI617" s="101"/>
      <c r="BJ617" s="101"/>
      <c r="BK617" s="12"/>
      <c r="BL617" s="12"/>
    </row>
    <row r="618" spans="1:64" hidden="1" outlineLevel="1">
      <c r="A618" s="9"/>
      <c r="B618" s="9"/>
      <c r="C618" s="46"/>
      <c r="D618" s="130">
        <f>Asset21</f>
        <v>0</v>
      </c>
      <c r="E618" s="9"/>
      <c r="F618" s="9"/>
      <c r="G618" s="196">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101"/>
      <c r="BE618" s="101"/>
      <c r="BF618" s="101"/>
      <c r="BG618" s="101"/>
      <c r="BH618" s="101"/>
      <c r="BI618" s="101"/>
      <c r="BJ618" s="101"/>
      <c r="BK618" s="12"/>
      <c r="BL618" s="12"/>
    </row>
    <row r="619" spans="1:64" hidden="1" outlineLevel="1">
      <c r="A619" s="9"/>
      <c r="B619" s="9"/>
      <c r="C619" s="46"/>
      <c r="D619" s="130">
        <f>Asset22</f>
        <v>0</v>
      </c>
      <c r="E619" s="9"/>
      <c r="F619" s="9"/>
      <c r="G619" s="196">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101"/>
      <c r="BE619" s="101"/>
      <c r="BF619" s="101"/>
      <c r="BG619" s="101"/>
      <c r="BH619" s="101"/>
      <c r="BI619" s="101"/>
      <c r="BJ619" s="101"/>
      <c r="BK619" s="12"/>
      <c r="BL619" s="12"/>
    </row>
    <row r="620" spans="1:64" hidden="1" outlineLevel="1">
      <c r="A620" s="9"/>
      <c r="B620" s="9"/>
      <c r="C620" s="46"/>
      <c r="D620" s="130">
        <f>Asset23</f>
        <v>0</v>
      </c>
      <c r="E620" s="9"/>
      <c r="F620" s="9"/>
      <c r="G620" s="196">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101"/>
      <c r="BE620" s="101"/>
      <c r="BF620" s="101"/>
      <c r="BG620" s="101"/>
      <c r="BH620" s="101"/>
      <c r="BI620" s="101"/>
      <c r="BJ620" s="101"/>
      <c r="BK620" s="12"/>
      <c r="BL620" s="12"/>
    </row>
    <row r="621" spans="1:64" hidden="1" outlineLevel="1">
      <c r="A621" s="9"/>
      <c r="B621" s="9"/>
      <c r="C621" s="46"/>
      <c r="D621" s="130">
        <f>Asset24</f>
        <v>0</v>
      </c>
      <c r="E621" s="9"/>
      <c r="F621" s="9"/>
      <c r="G621" s="196">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101"/>
      <c r="BE621" s="101"/>
      <c r="BF621" s="101"/>
      <c r="BG621" s="101"/>
      <c r="BH621" s="101"/>
      <c r="BI621" s="101"/>
      <c r="BJ621" s="101"/>
      <c r="BK621" s="12"/>
      <c r="BL621" s="12"/>
    </row>
    <row r="622" spans="1:64" hidden="1" outlineLevel="1">
      <c r="A622" s="9"/>
      <c r="B622" s="9"/>
      <c r="C622" s="46"/>
      <c r="D622" s="130">
        <f>Asset25</f>
        <v>0</v>
      </c>
      <c r="E622" s="9"/>
      <c r="F622" s="9"/>
      <c r="G622" s="196">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101"/>
      <c r="BE622" s="101"/>
      <c r="BF622" s="101"/>
      <c r="BG622" s="101"/>
      <c r="BH622" s="101"/>
      <c r="BI622" s="101"/>
      <c r="BJ622" s="101"/>
      <c r="BK622" s="12"/>
      <c r="BL622" s="12"/>
    </row>
    <row r="623" spans="1:64" hidden="1" outlineLevel="1">
      <c r="A623" s="9"/>
      <c r="B623" s="9"/>
      <c r="C623" s="46"/>
      <c r="D623" s="130">
        <f>Asset26</f>
        <v>0</v>
      </c>
      <c r="E623" s="9"/>
      <c r="F623" s="9"/>
      <c r="G623" s="196">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101"/>
      <c r="BE623" s="101"/>
      <c r="BF623" s="101"/>
      <c r="BG623" s="101"/>
      <c r="BH623" s="101"/>
      <c r="BI623" s="101"/>
      <c r="BJ623" s="101"/>
      <c r="BK623" s="12"/>
      <c r="BL623" s="12"/>
    </row>
    <row r="624" spans="1:64" hidden="1" outlineLevel="1">
      <c r="A624" s="9"/>
      <c r="B624" s="9"/>
      <c r="C624" s="46"/>
      <c r="D624" s="130">
        <f>Asset27</f>
        <v>0</v>
      </c>
      <c r="E624" s="9"/>
      <c r="F624" s="9"/>
      <c r="G624" s="196">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101"/>
      <c r="BE624" s="101"/>
      <c r="BF624" s="101"/>
      <c r="BG624" s="101"/>
      <c r="BH624" s="101"/>
      <c r="BI624" s="101"/>
      <c r="BJ624" s="101"/>
      <c r="BK624" s="12"/>
      <c r="BL624" s="12"/>
    </row>
    <row r="625" spans="1:64" hidden="1" outlineLevel="1">
      <c r="A625" s="9"/>
      <c r="B625" s="9"/>
      <c r="C625" s="46"/>
      <c r="D625" s="130">
        <f>Asset28</f>
        <v>0</v>
      </c>
      <c r="E625" s="9"/>
      <c r="F625" s="9"/>
      <c r="G625" s="196">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101"/>
      <c r="BE625" s="101"/>
      <c r="BF625" s="101"/>
      <c r="BG625" s="101"/>
      <c r="BH625" s="101"/>
      <c r="BI625" s="101"/>
      <c r="BJ625" s="101"/>
      <c r="BK625" s="12"/>
      <c r="BL625" s="12"/>
    </row>
    <row r="626" spans="1:64" hidden="1" outlineLevel="1">
      <c r="A626" s="9"/>
      <c r="B626" s="9"/>
      <c r="C626" s="46"/>
      <c r="D626" s="130">
        <f>Asset29</f>
        <v>0</v>
      </c>
      <c r="E626" s="9"/>
      <c r="F626" s="9"/>
      <c r="G626" s="196">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101"/>
      <c r="BE626" s="101"/>
      <c r="BF626" s="101"/>
      <c r="BG626" s="101"/>
      <c r="BH626" s="101"/>
      <c r="BI626" s="101"/>
      <c r="BJ626" s="101"/>
      <c r="BK626" s="12"/>
      <c r="BL626" s="12"/>
    </row>
    <row r="627" spans="1:64" hidden="1" outlineLevel="1">
      <c r="A627" s="9"/>
      <c r="B627" s="9"/>
      <c r="C627" s="46"/>
      <c r="D627" s="130">
        <f>Asset30</f>
        <v>0</v>
      </c>
      <c r="E627" s="9"/>
      <c r="F627" s="9"/>
      <c r="G627" s="196">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101"/>
      <c r="BE629" s="101"/>
      <c r="BF629" s="101"/>
      <c r="BG629" s="101"/>
      <c r="BH629" s="101"/>
      <c r="BI629" s="101"/>
      <c r="BJ629" s="101"/>
      <c r="BK629" s="12"/>
      <c r="BL629" s="12"/>
    </row>
    <row r="630" spans="1:64">
      <c r="A630" s="9"/>
      <c r="B630" s="12"/>
      <c r="C630" s="90"/>
      <c r="D630" s="114"/>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1"/>
      <c r="BE630" s="101"/>
      <c r="BF630" s="101"/>
      <c r="BG630" s="101"/>
      <c r="BH630" s="101"/>
      <c r="BI630" s="101"/>
      <c r="BJ630" s="101"/>
      <c r="BK630" s="12"/>
      <c r="BL630" s="12"/>
    </row>
    <row r="631" spans="1:64" s="9" customFormat="1">
      <c r="B631" s="12"/>
      <c r="C631" s="90" t="s">
        <v>33</v>
      </c>
      <c r="D631" s="12"/>
      <c r="E631" s="12"/>
      <c r="F631" s="12"/>
      <c r="G631" s="195">
        <f>SUM(G632:G661)</f>
        <v>-72.030432934600327</v>
      </c>
      <c r="H631" s="117">
        <f>SUM(H632:H661)</f>
        <v>-68.003473956245102</v>
      </c>
      <c r="I631" s="117">
        <f t="shared" ref="I631:Q631" si="29">SUM(I632:I661)</f>
        <v>-74.03157634484235</v>
      </c>
      <c r="J631" s="117">
        <f t="shared" si="29"/>
        <v>-79.102316909204632</v>
      </c>
      <c r="K631" s="117">
        <f t="shared" si="29"/>
        <v>-84.904816260882171</v>
      </c>
      <c r="L631" s="117">
        <f t="shared" si="29"/>
        <v>-92.05049619210105</v>
      </c>
      <c r="M631" s="117">
        <f t="shared" si="29"/>
        <v>0</v>
      </c>
      <c r="N631" s="117">
        <f t="shared" si="29"/>
        <v>0</v>
      </c>
      <c r="O631" s="117">
        <f t="shared" si="29"/>
        <v>0</v>
      </c>
      <c r="P631" s="117">
        <f t="shared" si="29"/>
        <v>0</v>
      </c>
      <c r="Q631" s="117">
        <f t="shared" si="29"/>
        <v>0</v>
      </c>
      <c r="R631" s="107"/>
      <c r="S631" s="107"/>
      <c r="T631" s="107"/>
      <c r="U631" s="107"/>
      <c r="V631" s="107"/>
      <c r="W631" s="107"/>
      <c r="X631" s="107"/>
      <c r="Y631" s="107"/>
      <c r="Z631" s="107"/>
      <c r="AA631" s="107"/>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107"/>
      <c r="BE631" s="107"/>
      <c r="BF631" s="107"/>
      <c r="BG631" s="107"/>
      <c r="BH631" s="107"/>
      <c r="BI631" s="107"/>
      <c r="BJ631" s="107"/>
      <c r="BK631" s="12"/>
      <c r="BL631" s="12"/>
    </row>
    <row r="632" spans="1:64" ht="12" hidden="1" customHeight="1" outlineLevel="1">
      <c r="A632" s="9"/>
      <c r="B632" s="9"/>
      <c r="C632" s="9"/>
      <c r="D632" s="130" t="str">
        <f>Asset1</f>
        <v>Subtransmission</v>
      </c>
      <c r="E632" s="9"/>
      <c r="F632" s="9"/>
      <c r="G632" s="193">
        <f t="shared" ref="G632:G639" si="30">-(G666-G502)</f>
        <v>-10.315649830884484</v>
      </c>
      <c r="H632" s="112">
        <f t="shared" ref="H632:Q632" si="31">H$56*H$7</f>
        <v>-6.6902500360788926</v>
      </c>
      <c r="I632" s="112">
        <f t="shared" si="31"/>
        <v>-8.7110857821029715</v>
      </c>
      <c r="J632" s="112">
        <f t="shared" si="31"/>
        <v>-9.4948582873287144</v>
      </c>
      <c r="K632" s="112">
        <f t="shared" si="31"/>
        <v>-10.944152345163742</v>
      </c>
      <c r="L632" s="112">
        <f t="shared" si="31"/>
        <v>-11.788452020255844</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12"/>
      <c r="BE632" s="12"/>
      <c r="BF632" s="12"/>
      <c r="BG632" s="12"/>
      <c r="BH632" s="12"/>
      <c r="BI632" s="12"/>
      <c r="BJ632" s="12"/>
      <c r="BK632" s="12"/>
      <c r="BL632" s="12"/>
    </row>
    <row r="633" spans="1:64" ht="12" hidden="1" customHeight="1" outlineLevel="1">
      <c r="A633" s="9"/>
      <c r="B633" s="9"/>
      <c r="C633" s="9"/>
      <c r="D633" s="130" t="str">
        <f>Asset2</f>
        <v>Distribution system assets</v>
      </c>
      <c r="E633" s="9"/>
      <c r="F633" s="9"/>
      <c r="G633" s="193">
        <f t="shared" si="30"/>
        <v>-43.106376717727358</v>
      </c>
      <c r="H633" s="112">
        <f t="shared" ref="H633:Q633" si="32">H$69*H$7</f>
        <v>-50.691131288924467</v>
      </c>
      <c r="I633" s="112">
        <f t="shared" si="32"/>
        <v>-53.443387425339338</v>
      </c>
      <c r="J633" s="112">
        <f t="shared" si="32"/>
        <v>-56.141844611936193</v>
      </c>
      <c r="K633" s="112">
        <f t="shared" si="32"/>
        <v>-58.809839109057805</v>
      </c>
      <c r="L633" s="112">
        <f t="shared" si="32"/>
        <v>-62.469198412454794</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12"/>
      <c r="BE633" s="12"/>
      <c r="BF633" s="12"/>
      <c r="BG633" s="12"/>
      <c r="BH633" s="12"/>
      <c r="BI633" s="12"/>
      <c r="BJ633" s="12"/>
      <c r="BK633" s="12"/>
      <c r="BL633" s="12"/>
    </row>
    <row r="634" spans="1:64" ht="12" hidden="1" customHeight="1" outlineLevel="1">
      <c r="A634" s="9"/>
      <c r="B634" s="9"/>
      <c r="C634" s="9"/>
      <c r="D634" s="130" t="str">
        <f>Asset3</f>
        <v>Standard metering</v>
      </c>
      <c r="E634" s="9"/>
      <c r="F634" s="9"/>
      <c r="G634" s="193">
        <f t="shared" si="30"/>
        <v>-3.6306981831362597</v>
      </c>
      <c r="H634" s="112">
        <f t="shared" ref="H634:Q634" si="33">H$82*H$7</f>
        <v>-5.8491662642232392</v>
      </c>
      <c r="I634" s="112">
        <f t="shared" si="33"/>
        <v>-6.0550515164549852</v>
      </c>
      <c r="J634" s="112">
        <f>J$82*J$7</f>
        <v>-6.1763952342196147</v>
      </c>
      <c r="K634" s="112">
        <f t="shared" si="33"/>
        <v>-6.3098733237607059</v>
      </c>
      <c r="L634" s="112">
        <f t="shared" si="33"/>
        <v>-6.4554857850782614</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12"/>
      <c r="BE634" s="12"/>
      <c r="BF634" s="12"/>
      <c r="BG634" s="12"/>
      <c r="BH634" s="12"/>
      <c r="BI634" s="12"/>
      <c r="BJ634" s="12"/>
      <c r="BK634" s="12"/>
      <c r="BL634" s="12"/>
    </row>
    <row r="635" spans="1:64" ht="12" hidden="1" customHeight="1" outlineLevel="1">
      <c r="A635" s="9"/>
      <c r="B635" s="9"/>
      <c r="C635" s="9"/>
      <c r="D635" s="130" t="str">
        <f>Asset4</f>
        <v>Public lighting</v>
      </c>
      <c r="E635" s="9"/>
      <c r="F635" s="9"/>
      <c r="G635" s="193">
        <f t="shared" si="30"/>
        <v>-0.58789071178604657</v>
      </c>
      <c r="H635" s="112">
        <f t="shared" ref="H635:Q635" si="34">H$95*H$7</f>
        <v>-0.78600551843507604</v>
      </c>
      <c r="I635" s="112">
        <f t="shared" si="34"/>
        <v>-0.81367218700088062</v>
      </c>
      <c r="J635" s="112">
        <f t="shared" si="34"/>
        <v>-0.82997824285260169</v>
      </c>
      <c r="K635" s="112">
        <f t="shared" si="34"/>
        <v>-0.8479149042894949</v>
      </c>
      <c r="L635" s="112">
        <f t="shared" si="34"/>
        <v>-0.86748217131156014</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12"/>
      <c r="BE635" s="12"/>
      <c r="BF635" s="12"/>
      <c r="BG635" s="12"/>
      <c r="BH635" s="12"/>
      <c r="BI635" s="12"/>
      <c r="BJ635" s="12"/>
      <c r="BK635" s="12"/>
      <c r="BL635" s="12"/>
    </row>
    <row r="636" spans="1:64" ht="12" hidden="1" customHeight="1" outlineLevel="1">
      <c r="A636" s="9"/>
      <c r="B636" s="9"/>
      <c r="C636" s="9"/>
      <c r="D636" s="130" t="str">
        <f>Asset5</f>
        <v>SCADA/Network control</v>
      </c>
      <c r="E636" s="9"/>
      <c r="F636" s="9"/>
      <c r="G636" s="193">
        <f t="shared" si="30"/>
        <v>-2.3570578332972749</v>
      </c>
      <c r="H636" s="112">
        <f t="shared" ref="H636:Q636" si="35">H$108*H$7</f>
        <v>-2.0982616198637549</v>
      </c>
      <c r="I636" s="112">
        <f t="shared" si="35"/>
        <v>-2.2473868684234106</v>
      </c>
      <c r="J636" s="112">
        <f t="shared" si="35"/>
        <v>-2.5699273898235853</v>
      </c>
      <c r="K636" s="112">
        <f t="shared" si="35"/>
        <v>-2.8434072795034333</v>
      </c>
      <c r="L636" s="112">
        <f t="shared" si="35"/>
        <v>-3.1255948804012421</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12"/>
      <c r="BE636" s="12"/>
      <c r="BF636" s="12"/>
      <c r="BG636" s="12"/>
      <c r="BH636" s="12"/>
      <c r="BI636" s="12"/>
      <c r="BJ636" s="12"/>
      <c r="BK636" s="12"/>
      <c r="BL636" s="12"/>
    </row>
    <row r="637" spans="1:64" ht="12" hidden="1" customHeight="1" outlineLevel="1">
      <c r="A637" s="9"/>
      <c r="B637" s="9"/>
      <c r="C637" s="9"/>
      <c r="D637" s="130" t="str">
        <f>Asset6</f>
        <v>Non-network general assets - IT</v>
      </c>
      <c r="E637" s="9"/>
      <c r="F637" s="9"/>
      <c r="G637" s="193">
        <f t="shared" si="30"/>
        <v>-10.573747955134561</v>
      </c>
      <c r="H637" s="112">
        <f t="shared" ref="H637:Q637" si="36">H$121*H$7</f>
        <v>-1.4779280800184045E-2</v>
      </c>
      <c r="I637" s="112">
        <f t="shared" si="36"/>
        <v>-0.65539283046247132</v>
      </c>
      <c r="J637" s="112">
        <f t="shared" si="36"/>
        <v>-1.7178120997178723</v>
      </c>
      <c r="K637" s="112">
        <f t="shared" si="36"/>
        <v>-2.6615300119930581</v>
      </c>
      <c r="L637" s="112">
        <f t="shared" si="36"/>
        <v>-4.2734770483005864</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12"/>
      <c r="BE637" s="12"/>
      <c r="BF637" s="12"/>
      <c r="BG637" s="12"/>
      <c r="BH637" s="12"/>
      <c r="BI637" s="12"/>
      <c r="BJ637" s="12"/>
      <c r="BK637" s="12"/>
      <c r="BL637" s="12"/>
    </row>
    <row r="638" spans="1:64" ht="12" hidden="1" customHeight="1" outlineLevel="1">
      <c r="A638" s="9"/>
      <c r="B638" s="9"/>
      <c r="C638" s="9"/>
      <c r="D638" s="130" t="str">
        <f>Asset7</f>
        <v>Non-network general assets - Other</v>
      </c>
      <c r="E638" s="9"/>
      <c r="F638" s="9"/>
      <c r="G638" s="193">
        <f t="shared" si="30"/>
        <v>-1.4590117026343468</v>
      </c>
      <c r="H638" s="112">
        <f t="shared" ref="H638:Q638" si="37">H$134*H$7</f>
        <v>-1.8738799479194876</v>
      </c>
      <c r="I638" s="112">
        <f t="shared" si="37"/>
        <v>-2.0405818236486781</v>
      </c>
      <c r="J638" s="112">
        <f t="shared" si="37"/>
        <v>-2.1051801677599147</v>
      </c>
      <c r="K638" s="112">
        <f t="shared" si="37"/>
        <v>-2.420345150975646</v>
      </c>
      <c r="L638" s="112">
        <f t="shared" si="37"/>
        <v>-3.0014881811726566</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12"/>
      <c r="BE638" s="12"/>
      <c r="BF638" s="12"/>
      <c r="BG638" s="12"/>
      <c r="BH638" s="12"/>
      <c r="BI638" s="12"/>
      <c r="BJ638" s="12"/>
      <c r="BK638" s="12"/>
      <c r="BL638" s="12"/>
    </row>
    <row r="639" spans="1:64" ht="12" hidden="1" customHeight="1" outlineLevel="1">
      <c r="A639" s="9"/>
      <c r="B639" s="9"/>
      <c r="C639" s="9"/>
      <c r="D639" s="130" t="str">
        <f>Asset8</f>
        <v>VBRC</v>
      </c>
      <c r="E639" s="9"/>
      <c r="F639" s="9"/>
      <c r="G639" s="193">
        <f t="shared" si="30"/>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12"/>
      <c r="BE639" s="12"/>
      <c r="BF639" s="12"/>
      <c r="BG639" s="12"/>
      <c r="BH639" s="12"/>
      <c r="BI639" s="12"/>
      <c r="BJ639" s="12"/>
      <c r="BK639" s="12"/>
      <c r="BL639" s="12"/>
    </row>
    <row r="640" spans="1:64" ht="12" hidden="1" customHeight="1" outlineLevel="1">
      <c r="A640" s="9"/>
      <c r="B640" s="9"/>
      <c r="C640" s="9"/>
      <c r="D640" s="130" t="str">
        <f>Asset9</f>
        <v>Equity raising</v>
      </c>
      <c r="E640" s="9"/>
      <c r="F640" s="9"/>
      <c r="G640" s="193">
        <f>-(G674-G510)</f>
        <v>0</v>
      </c>
      <c r="H640" s="112">
        <f t="shared" ref="H640:Q640" si="39">H$160*H$7</f>
        <v>0</v>
      </c>
      <c r="I640" s="112">
        <f t="shared" si="39"/>
        <v>-6.5017911409622084E-2</v>
      </c>
      <c r="J640" s="112">
        <f t="shared" si="39"/>
        <v>-6.6320875566127535E-2</v>
      </c>
      <c r="K640" s="112">
        <f t="shared" si="39"/>
        <v>-6.775413613828353E-2</v>
      </c>
      <c r="L640" s="112">
        <f t="shared" si="39"/>
        <v>-6.9317693126090082E-2</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12"/>
      <c r="BE640" s="12"/>
      <c r="BF640" s="12"/>
      <c r="BG640" s="12"/>
      <c r="BH640" s="12"/>
      <c r="BI640" s="12"/>
      <c r="BJ640" s="12"/>
      <c r="BK640" s="12"/>
      <c r="BL640" s="12"/>
    </row>
    <row r="641" spans="1:64" ht="12" hidden="1" customHeight="1" outlineLevel="1">
      <c r="A641" s="9"/>
      <c r="B641" s="9"/>
      <c r="C641" s="9"/>
      <c r="D641" s="130">
        <f>Asset10</f>
        <v>0</v>
      </c>
      <c r="E641" s="9"/>
      <c r="F641" s="9"/>
      <c r="G641" s="193">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12"/>
      <c r="BE641" s="12"/>
      <c r="BF641" s="12"/>
      <c r="BG641" s="12"/>
      <c r="BH641" s="12"/>
      <c r="BI641" s="12"/>
      <c r="BJ641" s="12"/>
      <c r="BK641" s="12"/>
      <c r="BL641" s="12"/>
    </row>
    <row r="642" spans="1:64" ht="12" hidden="1" customHeight="1" outlineLevel="1">
      <c r="A642" s="9"/>
      <c r="B642" s="9"/>
      <c r="C642" s="9"/>
      <c r="D642" s="130">
        <f>Asset11</f>
        <v>0</v>
      </c>
      <c r="E642" s="9"/>
      <c r="F642" s="9"/>
      <c r="G642" s="193">
        <f t="shared" si="40"/>
        <v>0</v>
      </c>
      <c r="H642" s="112">
        <f t="shared" ref="H642:Q642" si="42">H$186*H$7</f>
        <v>0</v>
      </c>
      <c r="I642" s="112">
        <f t="shared" si="42"/>
        <v>0</v>
      </c>
      <c r="J642" s="112">
        <f t="shared" si="42"/>
        <v>0</v>
      </c>
      <c r="K642" s="112">
        <f t="shared" si="42"/>
        <v>0</v>
      </c>
      <c r="L642" s="112">
        <f t="shared" si="42"/>
        <v>0</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12"/>
      <c r="BE642" s="12"/>
      <c r="BF642" s="12"/>
      <c r="BG642" s="12"/>
      <c r="BH642" s="12"/>
      <c r="BI642" s="12"/>
      <c r="BJ642" s="12"/>
      <c r="BK642" s="12"/>
      <c r="BL642" s="12"/>
    </row>
    <row r="643" spans="1:64" ht="12" hidden="1" customHeight="1" outlineLevel="1">
      <c r="A643" s="9"/>
      <c r="B643" s="9"/>
      <c r="C643" s="9"/>
      <c r="D643" s="130">
        <f>Asset12</f>
        <v>0</v>
      </c>
      <c r="E643" s="9"/>
      <c r="F643" s="9"/>
      <c r="G643" s="193">
        <f t="shared" si="40"/>
        <v>0</v>
      </c>
      <c r="H643" s="112">
        <f t="shared" ref="H643:Q643" si="43">H$199*H$7</f>
        <v>0</v>
      </c>
      <c r="I643" s="112">
        <f t="shared" si="43"/>
        <v>0</v>
      </c>
      <c r="J643" s="112">
        <f t="shared" si="43"/>
        <v>0</v>
      </c>
      <c r="K643" s="112">
        <f t="shared" si="43"/>
        <v>0</v>
      </c>
      <c r="L643" s="112">
        <f t="shared" si="43"/>
        <v>0</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12"/>
      <c r="BE643" s="12"/>
      <c r="BF643" s="12"/>
      <c r="BG643" s="12"/>
      <c r="BH643" s="12"/>
      <c r="BI643" s="12"/>
      <c r="BJ643" s="12"/>
      <c r="BK643" s="12"/>
      <c r="BL643" s="12"/>
    </row>
    <row r="644" spans="1:64" ht="12" hidden="1" customHeight="1" outlineLevel="1">
      <c r="A644" s="9"/>
      <c r="B644" s="9"/>
      <c r="C644" s="9"/>
      <c r="D644" s="130">
        <f>Asset13</f>
        <v>0</v>
      </c>
      <c r="E644" s="9"/>
      <c r="F644" s="9"/>
      <c r="G644" s="193">
        <f t="shared" si="40"/>
        <v>0</v>
      </c>
      <c r="H644" s="112">
        <f t="shared" ref="H644:Q644" si="44">H$212*H$7</f>
        <v>0</v>
      </c>
      <c r="I644" s="112">
        <f t="shared" si="44"/>
        <v>0</v>
      </c>
      <c r="J644" s="112">
        <f t="shared" si="44"/>
        <v>0</v>
      </c>
      <c r="K644" s="112">
        <f t="shared" si="44"/>
        <v>0</v>
      </c>
      <c r="L644" s="112">
        <f t="shared" si="44"/>
        <v>0</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12"/>
      <c r="BE644" s="12"/>
      <c r="BF644" s="12"/>
      <c r="BG644" s="12"/>
      <c r="BH644" s="12"/>
      <c r="BI644" s="12"/>
      <c r="BJ644" s="12"/>
      <c r="BK644" s="12"/>
      <c r="BL644" s="12"/>
    </row>
    <row r="645" spans="1:64" ht="12" hidden="1" customHeight="1" outlineLevel="1">
      <c r="A645" s="9"/>
      <c r="B645" s="9"/>
      <c r="C645" s="9"/>
      <c r="D645" s="130">
        <f>Asset14</f>
        <v>0</v>
      </c>
      <c r="E645" s="9"/>
      <c r="F645" s="9"/>
      <c r="G645" s="193">
        <f t="shared" si="40"/>
        <v>0</v>
      </c>
      <c r="H645" s="112">
        <f t="shared" ref="H645:Q645" si="45">H$225*H$7</f>
        <v>0</v>
      </c>
      <c r="I645" s="112">
        <f t="shared" si="45"/>
        <v>0</v>
      </c>
      <c r="J645" s="112">
        <f t="shared" si="45"/>
        <v>0</v>
      </c>
      <c r="K645" s="112">
        <f t="shared" si="45"/>
        <v>0</v>
      </c>
      <c r="L645" s="112">
        <f t="shared" si="45"/>
        <v>0</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12"/>
      <c r="BE645" s="12"/>
      <c r="BF645" s="12"/>
      <c r="BG645" s="12"/>
      <c r="BH645" s="12"/>
      <c r="BI645" s="12"/>
      <c r="BJ645" s="12"/>
      <c r="BK645" s="12"/>
      <c r="BL645" s="12"/>
    </row>
    <row r="646" spans="1:64" ht="12" hidden="1" customHeight="1" outlineLevel="1">
      <c r="A646" s="9"/>
      <c r="B646" s="9"/>
      <c r="C646" s="9"/>
      <c r="D646" s="130">
        <f>Asset15</f>
        <v>0</v>
      </c>
      <c r="E646" s="9"/>
      <c r="F646" s="9"/>
      <c r="G646" s="193">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12"/>
      <c r="BE646" s="12"/>
      <c r="BF646" s="12"/>
      <c r="BG646" s="12"/>
      <c r="BH646" s="12"/>
      <c r="BI646" s="12"/>
      <c r="BJ646" s="12"/>
      <c r="BK646" s="12"/>
      <c r="BL646" s="12"/>
    </row>
    <row r="647" spans="1:64" ht="12" hidden="1" customHeight="1" outlineLevel="1">
      <c r="A647" s="9"/>
      <c r="B647" s="9"/>
      <c r="C647" s="9"/>
      <c r="D647" s="130">
        <f>Asset16</f>
        <v>0</v>
      </c>
      <c r="E647" s="9"/>
      <c r="F647" s="9"/>
      <c r="G647" s="193">
        <f t="shared" si="40"/>
        <v>0</v>
      </c>
      <c r="H647" s="112">
        <f t="shared" ref="H647:Q647" si="47">H$251*H$7</f>
        <v>0</v>
      </c>
      <c r="I647" s="112">
        <f t="shared" si="47"/>
        <v>0</v>
      </c>
      <c r="J647" s="112">
        <f t="shared" si="47"/>
        <v>0</v>
      </c>
      <c r="K647" s="112">
        <f t="shared" si="47"/>
        <v>0</v>
      </c>
      <c r="L647" s="112">
        <f t="shared" si="47"/>
        <v>0</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12"/>
      <c r="BE647" s="12"/>
      <c r="BF647" s="12"/>
      <c r="BG647" s="12"/>
      <c r="BH647" s="12"/>
      <c r="BI647" s="12"/>
      <c r="BJ647" s="12"/>
      <c r="BK647" s="12"/>
      <c r="BL647" s="12"/>
    </row>
    <row r="648" spans="1:64" ht="12" hidden="1" customHeight="1" outlineLevel="1">
      <c r="A648" s="9"/>
      <c r="B648" s="9"/>
      <c r="C648" s="9"/>
      <c r="D648" s="130">
        <f>Asset17</f>
        <v>0</v>
      </c>
      <c r="E648" s="9"/>
      <c r="F648" s="9"/>
      <c r="G648" s="193">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12"/>
      <c r="BE648" s="12"/>
      <c r="BF648" s="12"/>
      <c r="BG648" s="12"/>
      <c r="BH648" s="12"/>
      <c r="BI648" s="12"/>
      <c r="BJ648" s="12"/>
      <c r="BK648" s="12"/>
      <c r="BL648" s="12"/>
    </row>
    <row r="649" spans="1:64" ht="12" hidden="1" customHeight="1" outlineLevel="1">
      <c r="A649" s="9"/>
      <c r="B649" s="9"/>
      <c r="C649" s="9"/>
      <c r="D649" s="130">
        <f>Asset18</f>
        <v>0</v>
      </c>
      <c r="E649" s="9"/>
      <c r="F649" s="9"/>
      <c r="G649" s="193">
        <f t="shared" si="40"/>
        <v>0</v>
      </c>
      <c r="H649" s="112">
        <f t="shared" ref="H649:Q649" si="49">H$277*H$7</f>
        <v>0</v>
      </c>
      <c r="I649" s="112">
        <f t="shared" si="49"/>
        <v>0</v>
      </c>
      <c r="J649" s="112">
        <f t="shared" si="49"/>
        <v>0</v>
      </c>
      <c r="K649" s="112">
        <f t="shared" si="49"/>
        <v>0</v>
      </c>
      <c r="L649" s="112">
        <f t="shared" si="49"/>
        <v>0</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12"/>
      <c r="BE649" s="12"/>
      <c r="BF649" s="12"/>
      <c r="BG649" s="12"/>
      <c r="BH649" s="12"/>
      <c r="BI649" s="12"/>
      <c r="BJ649" s="12"/>
      <c r="BK649" s="12"/>
      <c r="BL649" s="12"/>
    </row>
    <row r="650" spans="1:64" ht="12" hidden="1" customHeight="1" outlineLevel="1">
      <c r="A650" s="9"/>
      <c r="B650" s="9"/>
      <c r="C650" s="9"/>
      <c r="D650" s="130">
        <f>Asset19</f>
        <v>0</v>
      </c>
      <c r="E650" s="9"/>
      <c r="F650" s="9"/>
      <c r="G650" s="193">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12"/>
      <c r="BE650" s="12"/>
      <c r="BF650" s="12"/>
      <c r="BG650" s="12"/>
      <c r="BH650" s="12"/>
      <c r="BI650" s="12"/>
      <c r="BJ650" s="12"/>
      <c r="BK650" s="12"/>
      <c r="BL650" s="12"/>
    </row>
    <row r="651" spans="1:64" ht="12" hidden="1" customHeight="1" outlineLevel="1">
      <c r="A651" s="9"/>
      <c r="B651" s="9"/>
      <c r="C651" s="9"/>
      <c r="D651" s="130">
        <f>Asset20</f>
        <v>0</v>
      </c>
      <c r="E651" s="9"/>
      <c r="F651" s="9"/>
      <c r="G651" s="193">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12"/>
      <c r="BE651" s="12"/>
      <c r="BF651" s="12"/>
      <c r="BG651" s="12"/>
      <c r="BH651" s="12"/>
      <c r="BI651" s="12"/>
      <c r="BJ651" s="12"/>
      <c r="BK651" s="12"/>
      <c r="BL651" s="12"/>
    </row>
    <row r="652" spans="1:64" hidden="1" outlineLevel="1">
      <c r="A652" s="9"/>
      <c r="B652" s="9"/>
      <c r="C652" s="9"/>
      <c r="D652" s="130">
        <f>Asset21</f>
        <v>0</v>
      </c>
      <c r="E652" s="9"/>
      <c r="F652" s="9"/>
      <c r="G652" s="193">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3">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3">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3">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3">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3">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3">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3">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3">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3">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3"/>
      <c r="H662" s="112"/>
      <c r="I662" s="112"/>
      <c r="J662" s="112"/>
      <c r="K662" s="112"/>
      <c r="L662" s="112"/>
      <c r="M662" s="112"/>
      <c r="N662" s="112"/>
      <c r="O662" s="112"/>
      <c r="P662" s="112"/>
      <c r="Q662" s="112"/>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3"/>
      <c r="H663" s="112"/>
      <c r="I663" s="112"/>
      <c r="J663" s="112"/>
      <c r="K663" s="112"/>
      <c r="L663" s="112"/>
      <c r="M663" s="112"/>
      <c r="N663" s="112"/>
      <c r="O663" s="112"/>
      <c r="P663" s="112"/>
      <c r="Q663" s="112"/>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47</v>
      </c>
      <c r="D665" s="12"/>
      <c r="E665" s="12"/>
      <c r="F665" s="12"/>
      <c r="G665" s="197">
        <f>SUM(G666:G695)</f>
        <v>15.364090571316588</v>
      </c>
      <c r="H665" s="121">
        <f>SUM(H666:H695)</f>
        <v>35.884198672128306</v>
      </c>
      <c r="I665" s="121">
        <f>SUM(I666:I695)</f>
        <v>49.12865824197744</v>
      </c>
      <c r="J665" s="121">
        <f t="shared" ref="J665:Q665" si="63">SUM(J666:J695)</f>
        <v>29.835975192294779</v>
      </c>
      <c r="K665" s="121">
        <f t="shared" si="63"/>
        <v>34.165881159541911</v>
      </c>
      <c r="L665" s="121">
        <f t="shared" si="63"/>
        <v>38.916291601962818</v>
      </c>
      <c r="M665" s="121">
        <f t="shared" si="63"/>
        <v>0</v>
      </c>
      <c r="N665" s="121">
        <f t="shared" si="63"/>
        <v>0</v>
      </c>
      <c r="O665" s="121">
        <f t="shared" si="63"/>
        <v>0</v>
      </c>
      <c r="P665" s="121">
        <f t="shared" si="63"/>
        <v>0</v>
      </c>
      <c r="Q665" s="121">
        <f t="shared" si="63"/>
        <v>0</v>
      </c>
      <c r="R665" s="9"/>
      <c r="S665" s="12"/>
      <c r="T665" s="12"/>
      <c r="U665" s="12"/>
      <c r="V665" s="12"/>
      <c r="W665" s="12"/>
      <c r="X665" s="12"/>
      <c r="Y665" s="12"/>
      <c r="Z665" s="12"/>
      <c r="AA665" s="12"/>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12"/>
      <c r="BE665" s="12"/>
      <c r="BF665" s="12"/>
      <c r="BG665" s="12"/>
      <c r="BH665" s="12"/>
      <c r="BI665" s="12"/>
      <c r="BJ665" s="12"/>
      <c r="BK665" s="12"/>
      <c r="BL665" s="12"/>
    </row>
    <row r="666" spans="1:64" ht="12" hidden="1" customHeight="1" outlineLevel="1">
      <c r="A666" s="9"/>
      <c r="B666" s="9"/>
      <c r="C666" s="9"/>
      <c r="D666" s="130" t="str">
        <f>Asset1</f>
        <v>Subtransmission</v>
      </c>
      <c r="E666" s="9"/>
      <c r="F666" s="9"/>
      <c r="G666" s="193">
        <f>G438*G$6</f>
        <v>1.7547161873226311</v>
      </c>
      <c r="H666" s="112">
        <f>H438*H$6</f>
        <v>4.230324224789924</v>
      </c>
      <c r="I666" s="112">
        <f t="shared" ref="I666:Q666" si="64">I438*I$6</f>
        <v>8.2902159196982907</v>
      </c>
      <c r="J666" s="112">
        <f t="shared" si="64"/>
        <v>5.3099089749175334</v>
      </c>
      <c r="K666" s="112">
        <f t="shared" si="64"/>
        <v>6.9515821659299588</v>
      </c>
      <c r="L666" s="112">
        <f t="shared" si="64"/>
        <v>7.9983653680158362</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12"/>
      <c r="BE666" s="12"/>
      <c r="BF666" s="12"/>
      <c r="BG666" s="12"/>
      <c r="BH666" s="12"/>
      <c r="BI666" s="12"/>
      <c r="BJ666" s="12"/>
      <c r="BK666" s="12"/>
      <c r="BL666" s="12"/>
    </row>
    <row r="667" spans="1:64" hidden="1" outlineLevel="1">
      <c r="A667" s="9"/>
      <c r="B667" s="9"/>
      <c r="C667" s="9"/>
      <c r="D667" s="130" t="str">
        <f>Asset2</f>
        <v>Distribution system assets</v>
      </c>
      <c r="E667" s="9"/>
      <c r="F667" s="9"/>
      <c r="G667" s="193">
        <f t="shared" ref="G667:H695" si="65">G439*G$6</f>
        <v>12.59981880190935</v>
      </c>
      <c r="H667" s="112">
        <f t="shared" si="65"/>
        <v>29.638013295683763</v>
      </c>
      <c r="I667" s="112">
        <f t="shared" ref="I667:Q667" si="66">I439*I$6</f>
        <v>38.294828958344382</v>
      </c>
      <c r="J667" s="112">
        <f t="shared" si="66"/>
        <v>23.065721042085435</v>
      </c>
      <c r="K667" s="112">
        <f t="shared" si="66"/>
        <v>25.666877589377496</v>
      </c>
      <c r="L667" s="112">
        <f t="shared" si="66"/>
        <v>29.187626941708157</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101"/>
      <c r="BE667" s="101"/>
      <c r="BF667" s="101"/>
      <c r="BG667" s="101"/>
      <c r="BH667" s="101"/>
      <c r="BI667" s="101"/>
      <c r="BJ667" s="101"/>
      <c r="BK667" s="12"/>
      <c r="BL667" s="12"/>
    </row>
    <row r="668" spans="1:64" ht="12" hidden="1" customHeight="1" outlineLevel="1">
      <c r="A668" s="9"/>
      <c r="B668" s="9"/>
      <c r="C668" s="9"/>
      <c r="D668" s="130" t="str">
        <f>Asset3</f>
        <v>Standard metering</v>
      </c>
      <c r="E668" s="9"/>
      <c r="F668" s="9"/>
      <c r="G668" s="193">
        <f t="shared" si="65"/>
        <v>0.47481395175189411</v>
      </c>
      <c r="H668" s="112">
        <f t="shared" si="65"/>
        <v>0.96146721058489282</v>
      </c>
      <c r="I668" s="112">
        <f t="shared" ref="I668:Q668" si="67">I440*I$6</f>
        <v>1.0419764466124652</v>
      </c>
      <c r="J668" s="112">
        <f t="shared" si="67"/>
        <v>0.49277164253721012</v>
      </c>
      <c r="K668" s="112">
        <f t="shared" si="67"/>
        <v>0.40857071724983796</v>
      </c>
      <c r="L668" s="112">
        <f t="shared" si="67"/>
        <v>0.30010104840954388</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12"/>
      <c r="BE668" s="12"/>
      <c r="BF668" s="12"/>
      <c r="BG668" s="12"/>
      <c r="BH668" s="12"/>
      <c r="BI668" s="12"/>
      <c r="BJ668" s="12"/>
      <c r="BK668" s="12"/>
      <c r="BL668" s="12"/>
    </row>
    <row r="669" spans="1:64" ht="12" hidden="1" customHeight="1" outlineLevel="1">
      <c r="A669" s="9"/>
      <c r="B669" s="9"/>
      <c r="C669" s="9"/>
      <c r="D669" s="130" t="str">
        <f>Asset4</f>
        <v>Public lighting</v>
      </c>
      <c r="E669" s="9"/>
      <c r="F669" s="9"/>
      <c r="G669" s="193">
        <f t="shared" si="65"/>
        <v>0.13366825118115938</v>
      </c>
      <c r="H669" s="112">
        <f t="shared" si="65"/>
        <v>0.28277386396556453</v>
      </c>
      <c r="I669" s="112">
        <f t="shared" ref="I669:Q669" si="68">I441*I$6</f>
        <v>0.33933770807035041</v>
      </c>
      <c r="J669" s="112">
        <f t="shared" si="68"/>
        <v>0.18369126609650668</v>
      </c>
      <c r="K669" s="112">
        <f t="shared" si="68"/>
        <v>0.18412373126926365</v>
      </c>
      <c r="L669" s="112">
        <f t="shared" si="68"/>
        <v>0.18129498527167837</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12"/>
      <c r="BE669" s="12"/>
      <c r="BF669" s="12"/>
      <c r="BG669" s="12"/>
      <c r="BH669" s="12"/>
      <c r="BI669" s="12"/>
      <c r="BJ669" s="12"/>
      <c r="BK669" s="12"/>
      <c r="BL669" s="12"/>
    </row>
    <row r="670" spans="1:64" ht="12" hidden="1" customHeight="1" outlineLevel="1">
      <c r="A670" s="9"/>
      <c r="B670" s="9"/>
      <c r="C670" s="9"/>
      <c r="D670" s="130" t="str">
        <f>Asset5</f>
        <v>SCADA/Network control</v>
      </c>
      <c r="E670" s="9"/>
      <c r="F670" s="9"/>
      <c r="G670" s="193">
        <f t="shared" si="65"/>
        <v>0.19099419363168399</v>
      </c>
      <c r="H670" s="112">
        <f t="shared" si="65"/>
        <v>0.43573671958746185</v>
      </c>
      <c r="I670" s="112">
        <f t="shared" ref="I670:Q670" si="69">I442*I$6</f>
        <v>0.52494456849490345</v>
      </c>
      <c r="J670" s="112">
        <f t="shared" si="69"/>
        <v>0.33522659496600943</v>
      </c>
      <c r="K670" s="112">
        <f t="shared" si="69"/>
        <v>0.37314437413974261</v>
      </c>
      <c r="L670" s="112">
        <f t="shared" si="69"/>
        <v>0.40495513712668235</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12"/>
      <c r="BE670" s="12"/>
      <c r="BF670" s="12"/>
      <c r="BG670" s="12"/>
      <c r="BH670" s="12"/>
      <c r="BI670" s="12"/>
      <c r="BJ670" s="12"/>
      <c r="BK670" s="12"/>
      <c r="BL670" s="12"/>
    </row>
    <row r="671" spans="1:64" hidden="1" outlineLevel="1">
      <c r="A671" s="9"/>
      <c r="B671" s="9"/>
      <c r="C671" s="9"/>
      <c r="D671" s="130" t="str">
        <f>Asset6</f>
        <v>Non-network general assets - IT</v>
      </c>
      <c r="E671" s="9"/>
      <c r="F671" s="9"/>
      <c r="G671" s="193">
        <f t="shared" si="65"/>
        <v>7.0553476984838992E-2</v>
      </c>
      <c r="H671" s="112">
        <f t="shared" si="65"/>
        <v>2.0744843024753023E-3</v>
      </c>
      <c r="I671" s="112">
        <f t="shared" ref="I671:Q671" si="70">I443*I$6</f>
        <v>0.13275980173433086</v>
      </c>
      <c r="J671" s="112">
        <f t="shared" si="70"/>
        <v>0.1887990822594442</v>
      </c>
      <c r="K671" s="112">
        <f t="shared" si="70"/>
        <v>0.2856230842975051</v>
      </c>
      <c r="L671" s="112">
        <f t="shared" si="70"/>
        <v>0.46001467056544176</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12"/>
      <c r="BE671" s="12"/>
      <c r="BF671" s="12"/>
      <c r="BG671" s="12"/>
      <c r="BH671" s="12"/>
      <c r="BI671" s="12"/>
      <c r="BJ671" s="12"/>
      <c r="BK671" s="12"/>
      <c r="BL671" s="12"/>
    </row>
    <row r="672" spans="1:64" hidden="1" outlineLevel="1">
      <c r="A672" s="9"/>
      <c r="B672" s="9"/>
      <c r="C672" s="9"/>
      <c r="D672" s="130" t="str">
        <f>Asset7</f>
        <v>Non-network general assets - Other</v>
      </c>
      <c r="E672" s="9"/>
      <c r="F672" s="9"/>
      <c r="G672" s="193">
        <f t="shared" si="65"/>
        <v>0.13952570853502916</v>
      </c>
      <c r="H672" s="112">
        <f t="shared" si="65"/>
        <v>0.33380887321422137</v>
      </c>
      <c r="I672" s="112">
        <f t="shared" ref="I672:Q672" si="71">I444*I$6</f>
        <v>0.40153733641042333</v>
      </c>
      <c r="J672" s="112">
        <f t="shared" si="71"/>
        <v>0.20041998931750446</v>
      </c>
      <c r="K672" s="112">
        <f t="shared" si="71"/>
        <v>0.23201249772361038</v>
      </c>
      <c r="L672" s="112">
        <f t="shared" si="71"/>
        <v>0.3157366447029229</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VBRC</v>
      </c>
      <c r="E673" s="9"/>
      <c r="F673" s="9"/>
      <c r="G673" s="193">
        <f t="shared" si="65"/>
        <v>0</v>
      </c>
      <c r="H673" s="112">
        <f t="shared" si="65"/>
        <v>0</v>
      </c>
      <c r="I673" s="112">
        <f t="shared" ref="I673:Q673" si="72">I445*I$6</f>
        <v>0</v>
      </c>
      <c r="J673" s="112">
        <f t="shared" si="72"/>
        <v>0</v>
      </c>
      <c r="K673" s="112">
        <f t="shared" si="72"/>
        <v>0</v>
      </c>
      <c r="L673" s="112">
        <f t="shared" si="72"/>
        <v>0</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Equity raising</v>
      </c>
      <c r="E674" s="9"/>
      <c r="F674" s="9"/>
      <c r="G674" s="193">
        <f t="shared" si="65"/>
        <v>0</v>
      </c>
      <c r="H674" s="112">
        <f t="shared" si="65"/>
        <v>0</v>
      </c>
      <c r="I674" s="112">
        <f t="shared" ref="I674:Q674" si="73">I446*I$6</f>
        <v>0.10305750261229511</v>
      </c>
      <c r="J674" s="112">
        <f t="shared" si="73"/>
        <v>5.9436600115138807E-2</v>
      </c>
      <c r="K674" s="112">
        <f t="shared" si="73"/>
        <v>6.3946999554496509E-2</v>
      </c>
      <c r="L674" s="112">
        <f t="shared" si="73"/>
        <v>6.819680616255383E-2</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f>Asset10</f>
        <v>0</v>
      </c>
      <c r="E675" s="9"/>
      <c r="F675" s="9"/>
      <c r="G675" s="193">
        <f t="shared" si="65"/>
        <v>0</v>
      </c>
      <c r="H675" s="112">
        <f t="shared" si="65"/>
        <v>0</v>
      </c>
      <c r="I675" s="112">
        <f t="shared" ref="I675:Q675" si="74">I447*I$6</f>
        <v>0</v>
      </c>
      <c r="J675" s="112">
        <f t="shared" si="74"/>
        <v>0</v>
      </c>
      <c r="K675" s="112">
        <f t="shared" si="74"/>
        <v>0</v>
      </c>
      <c r="L675" s="112">
        <f t="shared" si="74"/>
        <v>0</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f>Asset11</f>
        <v>0</v>
      </c>
      <c r="E676" s="9"/>
      <c r="F676" s="9"/>
      <c r="G676" s="193">
        <f t="shared" si="65"/>
        <v>0</v>
      </c>
      <c r="H676" s="112">
        <f t="shared" si="65"/>
        <v>0</v>
      </c>
      <c r="I676" s="112">
        <f t="shared" ref="I676:Q676" si="75">I448*I$6</f>
        <v>0</v>
      </c>
      <c r="J676" s="112">
        <f t="shared" si="75"/>
        <v>0</v>
      </c>
      <c r="K676" s="112">
        <f t="shared" si="75"/>
        <v>0</v>
      </c>
      <c r="L676" s="112">
        <f t="shared" si="75"/>
        <v>0</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f>Asset12</f>
        <v>0</v>
      </c>
      <c r="E677" s="9"/>
      <c r="F677" s="9"/>
      <c r="G677" s="193">
        <f t="shared" si="65"/>
        <v>0</v>
      </c>
      <c r="H677" s="112">
        <f t="shared" si="65"/>
        <v>0</v>
      </c>
      <c r="I677" s="112">
        <f t="shared" ref="I677:Q677" si="76">I449*I$6</f>
        <v>0</v>
      </c>
      <c r="J677" s="112">
        <f t="shared" si="76"/>
        <v>0</v>
      </c>
      <c r="K677" s="112">
        <f t="shared" si="76"/>
        <v>0</v>
      </c>
      <c r="L677" s="112">
        <f t="shared" si="76"/>
        <v>0</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f>Asset13</f>
        <v>0</v>
      </c>
      <c r="E678" s="9"/>
      <c r="F678" s="9"/>
      <c r="G678" s="193">
        <f t="shared" si="65"/>
        <v>0</v>
      </c>
      <c r="H678" s="112">
        <f t="shared" si="65"/>
        <v>0</v>
      </c>
      <c r="I678" s="112">
        <f t="shared" ref="I678:Q678" si="77">I450*I$6</f>
        <v>0</v>
      </c>
      <c r="J678" s="112">
        <f t="shared" si="77"/>
        <v>0</v>
      </c>
      <c r="K678" s="112">
        <f t="shared" si="77"/>
        <v>0</v>
      </c>
      <c r="L678" s="112">
        <f t="shared" si="77"/>
        <v>0</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f>Asset14</f>
        <v>0</v>
      </c>
      <c r="E679" s="9"/>
      <c r="F679" s="9"/>
      <c r="G679" s="193">
        <f t="shared" si="65"/>
        <v>0</v>
      </c>
      <c r="H679" s="112">
        <f t="shared" si="65"/>
        <v>0</v>
      </c>
      <c r="I679" s="112">
        <f t="shared" ref="I679:Q679" si="78">I451*I$6</f>
        <v>0</v>
      </c>
      <c r="J679" s="112">
        <f t="shared" si="78"/>
        <v>0</v>
      </c>
      <c r="K679" s="112">
        <f t="shared" si="78"/>
        <v>0</v>
      </c>
      <c r="L679" s="112">
        <f t="shared" si="78"/>
        <v>0</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f>Asset15</f>
        <v>0</v>
      </c>
      <c r="E680" s="9"/>
      <c r="F680" s="9"/>
      <c r="G680" s="193">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f>Asset16</f>
        <v>0</v>
      </c>
      <c r="E681" s="9"/>
      <c r="F681" s="9"/>
      <c r="G681" s="193">
        <f t="shared" si="65"/>
        <v>0</v>
      </c>
      <c r="H681" s="112">
        <f t="shared" si="65"/>
        <v>0</v>
      </c>
      <c r="I681" s="112">
        <f t="shared" ref="I681:Q681" si="80">I453*I$6</f>
        <v>0</v>
      </c>
      <c r="J681" s="112">
        <f t="shared" si="80"/>
        <v>0</v>
      </c>
      <c r="K681" s="112">
        <f t="shared" si="80"/>
        <v>0</v>
      </c>
      <c r="L681" s="112">
        <f t="shared" si="80"/>
        <v>0</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f>Asset17</f>
        <v>0</v>
      </c>
      <c r="E682" s="9"/>
      <c r="F682" s="9"/>
      <c r="G682" s="193">
        <f t="shared" si="65"/>
        <v>0</v>
      </c>
      <c r="H682" s="112">
        <f t="shared" si="65"/>
        <v>0</v>
      </c>
      <c r="I682" s="112">
        <f t="shared" ref="I682:Q682" si="81">I454*I$6</f>
        <v>0</v>
      </c>
      <c r="J682" s="112">
        <f t="shared" si="81"/>
        <v>0</v>
      </c>
      <c r="K682" s="112">
        <f t="shared" si="81"/>
        <v>0</v>
      </c>
      <c r="L682" s="112">
        <f t="shared" si="81"/>
        <v>0</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f>Asset18</f>
        <v>0</v>
      </c>
      <c r="E683" s="9"/>
      <c r="F683" s="9"/>
      <c r="G683" s="193">
        <f t="shared" si="65"/>
        <v>0</v>
      </c>
      <c r="H683" s="112">
        <f t="shared" si="65"/>
        <v>0</v>
      </c>
      <c r="I683" s="112">
        <f t="shared" ref="I683:Q683" si="82">I455*I$6</f>
        <v>0</v>
      </c>
      <c r="J683" s="112">
        <f t="shared" si="82"/>
        <v>0</v>
      </c>
      <c r="K683" s="112">
        <f t="shared" si="82"/>
        <v>0</v>
      </c>
      <c r="L683" s="112">
        <f t="shared" si="82"/>
        <v>0</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3">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3">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3">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3">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3">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3">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3">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3">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3">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3">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3">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3">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3"/>
      <c r="H696" s="112"/>
      <c r="I696" s="112"/>
      <c r="J696" s="112"/>
      <c r="K696" s="112"/>
      <c r="L696" s="112"/>
      <c r="M696" s="112"/>
      <c r="N696" s="112"/>
      <c r="O696" s="112"/>
      <c r="P696" s="112"/>
      <c r="Q696" s="112"/>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5" activePane="bottomLeft" state="frozen"/>
      <selection activeCell="AC17" sqref="AC17"/>
      <selection pane="bottomLeft" activeCell="L402" sqref="L402"/>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7109375" bestFit="1" customWidth="1"/>
    <col min="8" max="8" width="10" customWidth="1"/>
    <col min="9" max="9" width="10.140625" customWidth="1"/>
    <col min="10" max="11" width="10" customWidth="1"/>
    <col min="12" max="12" width="11.140625" bestFit="1" customWidth="1"/>
    <col min="13" max="14" width="10.28515625" bestFit="1" customWidth="1"/>
    <col min="15" max="15" width="11.140625" bestFit="1" customWidth="1"/>
    <col min="16" max="17" width="10.5703125" bestFit="1" customWidth="1"/>
    <col min="18" max="18" width="9.5703125" bestFit="1" customWidth="1"/>
    <col min="19" max="19" width="14.7109375" customWidth="1"/>
    <col min="20" max="20" width="10.5703125" customWidth="1"/>
    <col min="21" max="21" width="10.28515625" customWidth="1"/>
    <col min="22" max="22" width="12.140625" customWidth="1"/>
    <col min="23" max="23" width="9.5703125" bestFit="1" customWidth="1"/>
    <col min="24" max="24" width="14.28515625" customWidth="1"/>
    <col min="25" max="25" width="12.28515625" customWidth="1"/>
    <col min="26"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13"/>
      <c r="BL1" s="213"/>
    </row>
    <row r="2" spans="1:256" ht="15.75">
      <c r="A2" s="9"/>
      <c r="B2" s="9"/>
      <c r="C2" s="57" t="s">
        <v>41</v>
      </c>
      <c r="D2" s="9"/>
      <c r="E2" s="9"/>
      <c r="F2" s="9"/>
      <c r="G2" s="9"/>
      <c r="H2" s="9"/>
      <c r="I2" s="37"/>
      <c r="J2" s="9"/>
      <c r="K2" s="9"/>
      <c r="L2" s="37"/>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18"/>
      <c r="BL3" s="21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1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13"/>
      <c r="BL4" s="21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13"/>
      <c r="BL5" s="21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2">
        <f>SUM(G7:G36)</f>
        <v>1218.1528952972562</v>
      </c>
      <c r="H6" s="141">
        <f>SUM(H7:H36)</f>
        <v>1287.2501906639984</v>
      </c>
      <c r="I6" s="141">
        <f t="shared" ref="I6:Q6" si="1">SUM(I7:I36)</f>
        <v>1395.7371267761814</v>
      </c>
      <c r="J6" s="141">
        <f t="shared" si="1"/>
        <v>1488.8151620955082</v>
      </c>
      <c r="K6" s="141">
        <f t="shared" si="1"/>
        <v>1580.9485009278967</v>
      </c>
      <c r="L6" s="141">
        <f t="shared" si="1"/>
        <v>1686.3726360850453</v>
      </c>
      <c r="M6" s="141">
        <f t="shared" si="1"/>
        <v>0</v>
      </c>
      <c r="N6" s="141">
        <f t="shared" si="1"/>
        <v>0</v>
      </c>
      <c r="O6" s="141">
        <f t="shared" si="1"/>
        <v>0</v>
      </c>
      <c r="P6" s="141">
        <f t="shared" si="1"/>
        <v>0</v>
      </c>
      <c r="Q6" s="141">
        <f t="shared" si="1"/>
        <v>0</v>
      </c>
      <c r="R6" s="141"/>
      <c r="S6" s="140"/>
      <c r="T6" s="140"/>
      <c r="U6" s="140"/>
      <c r="V6" s="140"/>
      <c r="W6" s="140"/>
      <c r="X6" s="140"/>
      <c r="Y6" s="140"/>
      <c r="Z6" s="140"/>
      <c r="AA6" s="140"/>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3"/>
      <c r="BL6" s="213"/>
    </row>
    <row r="7" spans="1:256" hidden="1" outlineLevel="1">
      <c r="A7" s="9"/>
      <c r="B7" s="9"/>
      <c r="C7" s="9"/>
      <c r="D7" s="130" t="str">
        <f>Asset1</f>
        <v>Subtransmission</v>
      </c>
      <c r="E7" s="9"/>
      <c r="F7" s="9"/>
      <c r="G7" s="193">
        <f>'Actual RAB roll forward'!G438</f>
        <v>139.12392628058146</v>
      </c>
      <c r="H7" s="112">
        <f t="shared" ref="H7:H26" si="2">G7+G39+G71+G103+G135+G167</f>
        <v>151.75163070203752</v>
      </c>
      <c r="I7" s="112">
        <f t="shared" ref="I7:L34" si="3">H7+H39+H71</f>
        <v>235.52367522683883</v>
      </c>
      <c r="J7" s="112">
        <f t="shared" si="3"/>
        <v>264.96445784838465</v>
      </c>
      <c r="K7" s="112">
        <f t="shared" si="3"/>
        <v>321.66866567803237</v>
      </c>
      <c r="L7" s="112">
        <f t="shared" si="3"/>
        <v>346.59583261401747</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hidden="1" outlineLevel="1">
      <c r="A8" s="9"/>
      <c r="B8" s="9"/>
      <c r="C8" s="46"/>
      <c r="D8" s="130" t="str">
        <f>Asset2</f>
        <v>Distribution system assets</v>
      </c>
      <c r="E8" s="9"/>
      <c r="F8" s="9"/>
      <c r="G8" s="193">
        <f>'Actual RAB roll forward'!G439</f>
        <v>998.98563357996591</v>
      </c>
      <c r="H8" s="112">
        <f t="shared" si="2"/>
        <v>1063.1849024792018</v>
      </c>
      <c r="I8" s="112">
        <f t="shared" si="3"/>
        <v>1087.9498128657533</v>
      </c>
      <c r="J8" s="112">
        <f t="shared" si="3"/>
        <v>1150.979480000062</v>
      </c>
      <c r="K8" s="112">
        <f t="shared" si="3"/>
        <v>1187.6764266357427</v>
      </c>
      <c r="L8" s="112">
        <f t="shared" si="3"/>
        <v>1264.7971674740124</v>
      </c>
      <c r="M8" s="112">
        <f>IF(Input!M$173&gt;0, L8+L40+L72, 0)</f>
        <v>0</v>
      </c>
      <c r="N8" s="112">
        <f>IF(Input!N$173&gt;0, M8+M40+M72, 0)</f>
        <v>0</v>
      </c>
      <c r="O8" s="112">
        <f>IF(Input!O$173&gt;0, N8+N40+N72, 0)</f>
        <v>0</v>
      </c>
      <c r="P8" s="112">
        <f>IF(Input!P$173&gt;0, O8+O40+O72, 0)</f>
        <v>0</v>
      </c>
      <c r="Q8" s="112">
        <f>IF(Input!Q$173&gt;0, P8+P40+P72, 0)</f>
        <v>0</v>
      </c>
      <c r="R8" s="112"/>
      <c r="S8" s="292"/>
      <c r="T8" s="101"/>
      <c r="U8" s="101"/>
      <c r="V8" s="101"/>
      <c r="W8" s="101"/>
      <c r="X8" s="101"/>
      <c r="Y8" s="101"/>
      <c r="Z8" s="101"/>
      <c r="AA8" s="101"/>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13"/>
      <c r="BL8" s="213"/>
    </row>
    <row r="9" spans="1:256" hidden="1" outlineLevel="1">
      <c r="A9" s="9"/>
      <c r="B9" s="9"/>
      <c r="C9" s="46"/>
      <c r="D9" s="130" t="str">
        <f>Asset3</f>
        <v>Standard metering</v>
      </c>
      <c r="E9" s="9"/>
      <c r="F9" s="9"/>
      <c r="G9" s="193">
        <f>'Actual RAB roll forward'!G440</f>
        <v>37.645963317471988</v>
      </c>
      <c r="H9" s="112">
        <f t="shared" si="2"/>
        <v>34.490079086087626</v>
      </c>
      <c r="I9" s="112">
        <f t="shared" si="3"/>
        <v>29.602380032449279</v>
      </c>
      <c r="J9" s="112">
        <f t="shared" si="3"/>
        <v>24.589304962606761</v>
      </c>
      <c r="K9" s="112">
        <f t="shared" si="3"/>
        <v>18.905681370924356</v>
      </c>
      <c r="L9" s="112">
        <f t="shared" si="3"/>
        <v>13.004378764413488</v>
      </c>
      <c r="M9" s="112">
        <f>IF(Input!M$173&gt;0, L9+L41+L73, 0)</f>
        <v>0</v>
      </c>
      <c r="N9" s="112">
        <f>IF(Input!N$173&gt;0, M9+M41+M73, 0)</f>
        <v>0</v>
      </c>
      <c r="O9" s="112">
        <f>IF(Input!O$173&gt;0, N9+N41+N73, 0)</f>
        <v>0</v>
      </c>
      <c r="P9" s="112">
        <f>IF(Input!P$173&gt;0, O9+O41+O73, 0)</f>
        <v>0</v>
      </c>
      <c r="Q9" s="112">
        <f>IF(Input!Q$173&gt;0, P9+P41+P73, 0)</f>
        <v>0</v>
      </c>
      <c r="R9" s="112"/>
      <c r="S9" s="292"/>
      <c r="T9" s="101"/>
      <c r="U9" s="101"/>
      <c r="V9" s="101"/>
      <c r="W9" s="101"/>
      <c r="X9" s="101"/>
      <c r="Y9" s="101"/>
      <c r="Z9" s="101"/>
      <c r="AA9" s="101"/>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13"/>
      <c r="BL9" s="213"/>
    </row>
    <row r="10" spans="1:256" hidden="1" outlineLevel="1">
      <c r="A10" s="9"/>
      <c r="B10" s="9"/>
      <c r="C10" s="46"/>
      <c r="D10" s="130" t="str">
        <f>Asset4</f>
        <v>Public lighting</v>
      </c>
      <c r="E10" s="9"/>
      <c r="F10" s="9"/>
      <c r="G10" s="193">
        <f>'Actual RAB roll forward'!G441</f>
        <v>10.597982772220602</v>
      </c>
      <c r="H10" s="112">
        <f t="shared" si="2"/>
        <v>10.143760311615715</v>
      </c>
      <c r="I10" s="112">
        <f t="shared" si="3"/>
        <v>9.6405286571462039</v>
      </c>
      <c r="J10" s="112">
        <f t="shared" si="3"/>
        <v>9.1661941782156742</v>
      </c>
      <c r="K10" s="112">
        <f t="shared" si="3"/>
        <v>8.5199072014595796</v>
      </c>
      <c r="L10" s="112">
        <f t="shared" si="3"/>
        <v>7.8561160284393488</v>
      </c>
      <c r="M10" s="112">
        <f>IF(Input!M$173&gt;0, L10+L42+L74, 0)</f>
        <v>0</v>
      </c>
      <c r="N10" s="112">
        <f>IF(Input!N$173&gt;0, M10+M42+M74, 0)</f>
        <v>0</v>
      </c>
      <c r="O10" s="112">
        <f>IF(Input!O$173&gt;0, N10+N42+N74, 0)</f>
        <v>0</v>
      </c>
      <c r="P10" s="112">
        <f>IF(Input!P$173&gt;0, O10+O42+O74, 0)</f>
        <v>0</v>
      </c>
      <c r="Q10" s="112">
        <f>IF(Input!Q$173&gt;0, P10+P42+P74, 0)</f>
        <v>0</v>
      </c>
      <c r="R10" s="112"/>
      <c r="S10" s="292"/>
      <c r="T10" s="101"/>
      <c r="U10" s="101"/>
      <c r="V10" s="101"/>
      <c r="W10" s="101"/>
      <c r="X10" s="101"/>
      <c r="Y10" s="101"/>
      <c r="Z10" s="101"/>
      <c r="AA10" s="101"/>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13"/>
      <c r="BL10" s="213"/>
    </row>
    <row r="11" spans="1:256" hidden="1" outlineLevel="1">
      <c r="A11" s="9"/>
      <c r="B11" s="9"/>
      <c r="C11" s="46"/>
      <c r="D11" s="130" t="str">
        <f>Asset5</f>
        <v>SCADA/Network control</v>
      </c>
      <c r="E11" s="9"/>
      <c r="F11" s="9"/>
      <c r="G11" s="193">
        <f>'Actual RAB roll forward'!G442</f>
        <v>15.143111066512242</v>
      </c>
      <c r="H11" s="112">
        <f t="shared" si="2"/>
        <v>15.630895940945866</v>
      </c>
      <c r="I11" s="112">
        <f t="shared" si="3"/>
        <v>14.913589134453598</v>
      </c>
      <c r="J11" s="112">
        <f t="shared" si="3"/>
        <v>16.727807088803853</v>
      </c>
      <c r="K11" s="112">
        <f t="shared" si="3"/>
        <v>17.26640785792085</v>
      </c>
      <c r="L11" s="112">
        <f t="shared" si="3"/>
        <v>17.548055942156129</v>
      </c>
      <c r="M11" s="112">
        <f>IF(Input!M$173&gt;0, L11+L43+L75, 0)</f>
        <v>0</v>
      </c>
      <c r="N11" s="112">
        <f>IF(Input!N$173&gt;0, M11+M43+M75, 0)</f>
        <v>0</v>
      </c>
      <c r="O11" s="112">
        <f>IF(Input!O$173&gt;0, N11+N43+N75, 0)</f>
        <v>0</v>
      </c>
      <c r="P11" s="112">
        <f>IF(Input!P$173&gt;0, O11+O43+O75, 0)</f>
        <v>0</v>
      </c>
      <c r="Q11" s="112">
        <f>IF(Input!Q$173&gt;0, P11+P43+P75, 0)</f>
        <v>0</v>
      </c>
      <c r="R11" s="112"/>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13"/>
      <c r="BL11" s="213"/>
    </row>
    <row r="12" spans="1:256" hidden="1" outlineLevel="1">
      <c r="A12" s="9"/>
      <c r="B12" s="9"/>
      <c r="C12" s="46"/>
      <c r="D12" s="130" t="str">
        <f>Asset6</f>
        <v>Non-network general assets - IT</v>
      </c>
      <c r="E12" s="9"/>
      <c r="F12" s="9"/>
      <c r="G12" s="193">
        <f>'Actual RAB roll forward'!G443</f>
        <v>5.5938828180837197</v>
      </c>
      <c r="H12" s="112">
        <f t="shared" si="2"/>
        <v>7.4416607105815658E-2</v>
      </c>
      <c r="I12" s="112">
        <f t="shared" si="3"/>
        <v>3.7716842033704236</v>
      </c>
      <c r="J12" s="112">
        <f t="shared" si="3"/>
        <v>9.4210742047462563</v>
      </c>
      <c r="K12" s="112">
        <f t="shared" si="3"/>
        <v>13.216559082493671</v>
      </c>
      <c r="L12" s="112">
        <f t="shared" si="3"/>
        <v>19.933969057835689</v>
      </c>
      <c r="M12" s="112">
        <f>IF(Input!M$173&gt;0, L12+L44+L76, 0)</f>
        <v>0</v>
      </c>
      <c r="N12" s="112">
        <f>IF(Input!N$173&gt;0, M12+M44+M76, 0)</f>
        <v>0</v>
      </c>
      <c r="O12" s="112">
        <f>IF(Input!O$173&gt;0, N12+N44+N76, 0)</f>
        <v>0</v>
      </c>
      <c r="P12" s="112">
        <f>IF(Input!P$173&gt;0, O12+O44+O76, 0)</f>
        <v>0</v>
      </c>
      <c r="Q12" s="112">
        <f>IF(Input!Q$173&gt;0, P12+P44+P76, 0)</f>
        <v>0</v>
      </c>
      <c r="R12" s="112"/>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13"/>
      <c r="BL12" s="213"/>
    </row>
    <row r="13" spans="1:256" hidden="1" outlineLevel="1">
      <c r="A13" s="9"/>
      <c r="B13" s="9"/>
      <c r="C13" s="46"/>
      <c r="D13" s="130" t="str">
        <f>Asset7</f>
        <v>Non-network general assets - Other</v>
      </c>
      <c r="E13" s="9"/>
      <c r="F13" s="9"/>
      <c r="G13" s="193">
        <f>'Actual RAB roll forward'!G444</f>
        <v>11.062395462420282</v>
      </c>
      <c r="H13" s="112">
        <f t="shared" si="2"/>
        <v>11.97450553700369</v>
      </c>
      <c r="I13" s="112">
        <f t="shared" si="3"/>
        <v>11.407609901627296</v>
      </c>
      <c r="J13" s="112">
        <f t="shared" si="3"/>
        <v>10.000957466943463</v>
      </c>
      <c r="K13" s="112">
        <f t="shared" si="3"/>
        <v>10.735851031028901</v>
      </c>
      <c r="L13" s="112">
        <f t="shared" si="3"/>
        <v>13.68192127045991</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13"/>
      <c r="BL13" s="213"/>
    </row>
    <row r="14" spans="1:256" hidden="1" outlineLevel="1">
      <c r="A14" s="9"/>
      <c r="B14" s="9"/>
      <c r="C14" s="46"/>
      <c r="D14" s="130" t="str">
        <f>Asset8</f>
        <v>VBRC</v>
      </c>
      <c r="E14" s="9"/>
      <c r="F14" s="9"/>
      <c r="G14" s="193">
        <f>'Actual RAB roll forward'!G445</f>
        <v>0</v>
      </c>
      <c r="H14" s="112">
        <f t="shared" si="2"/>
        <v>0</v>
      </c>
      <c r="I14" s="112">
        <f t="shared" si="3"/>
        <v>0</v>
      </c>
      <c r="J14" s="112">
        <f t="shared" si="3"/>
        <v>0</v>
      </c>
      <c r="K14" s="112">
        <f t="shared" si="3"/>
        <v>0</v>
      </c>
      <c r="L14" s="112">
        <f t="shared" si="3"/>
        <v>0</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13"/>
      <c r="BL14" s="213"/>
    </row>
    <row r="15" spans="1:256" hidden="1" outlineLevel="1">
      <c r="A15" s="9"/>
      <c r="B15" s="9"/>
      <c r="C15" s="46"/>
      <c r="D15" s="130" t="str">
        <f>Asset9</f>
        <v>Equity raising</v>
      </c>
      <c r="E15" s="9"/>
      <c r="F15" s="9"/>
      <c r="G15" s="193">
        <f>'Actual RAB roll forward'!G446</f>
        <v>0</v>
      </c>
      <c r="H15" s="112">
        <f t="shared" si="2"/>
        <v>0</v>
      </c>
      <c r="I15" s="112">
        <f t="shared" si="3"/>
        <v>2.9278467545427507</v>
      </c>
      <c r="J15" s="112">
        <f t="shared" si="3"/>
        <v>2.9658863457454236</v>
      </c>
      <c r="K15" s="112">
        <f t="shared" si="3"/>
        <v>2.9590020702944351</v>
      </c>
      <c r="L15" s="112">
        <f t="shared" si="3"/>
        <v>2.955194933710648</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13"/>
      <c r="BL15" s="213"/>
    </row>
    <row r="16" spans="1:256" hidden="1" outlineLevel="1">
      <c r="A16" s="9"/>
      <c r="B16" s="9"/>
      <c r="C16" s="46"/>
      <c r="D16" s="130">
        <f>Asset10</f>
        <v>0</v>
      </c>
      <c r="E16" s="9"/>
      <c r="F16" s="9"/>
      <c r="G16" s="193">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13"/>
      <c r="BL16" s="213"/>
    </row>
    <row r="17" spans="1:64" hidden="1" outlineLevel="1">
      <c r="A17" s="9"/>
      <c r="B17" s="9"/>
      <c r="C17" s="46"/>
      <c r="D17" s="130">
        <f>Asset11</f>
        <v>0</v>
      </c>
      <c r="E17" s="9"/>
      <c r="F17" s="9"/>
      <c r="G17" s="193">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13"/>
      <c r="BL17" s="213"/>
    </row>
    <row r="18" spans="1:64" hidden="1" outlineLevel="1">
      <c r="A18" s="9"/>
      <c r="B18" s="9"/>
      <c r="C18" s="46"/>
      <c r="D18" s="130">
        <f>Asset12</f>
        <v>0</v>
      </c>
      <c r="E18" s="9"/>
      <c r="F18" s="9"/>
      <c r="G18" s="193">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13"/>
      <c r="BL18" s="213"/>
    </row>
    <row r="19" spans="1:64" hidden="1" outlineLevel="1">
      <c r="A19" s="9"/>
      <c r="B19" s="9"/>
      <c r="C19" s="46"/>
      <c r="D19" s="130">
        <f>Asset13</f>
        <v>0</v>
      </c>
      <c r="E19" s="9"/>
      <c r="F19" s="9"/>
      <c r="G19" s="193">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13"/>
      <c r="BL19" s="213"/>
    </row>
    <row r="20" spans="1:64" hidden="1" outlineLevel="1">
      <c r="A20" s="9"/>
      <c r="B20" s="9"/>
      <c r="C20" s="46"/>
      <c r="D20" s="130">
        <f>Asset14</f>
        <v>0</v>
      </c>
      <c r="E20" s="9"/>
      <c r="F20" s="9"/>
      <c r="G20" s="193">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13"/>
      <c r="BL20" s="213"/>
    </row>
    <row r="21" spans="1:64" hidden="1" outlineLevel="1">
      <c r="A21" s="9"/>
      <c r="B21" s="9"/>
      <c r="C21" s="46"/>
      <c r="D21" s="130">
        <f>Asset15</f>
        <v>0</v>
      </c>
      <c r="E21" s="9"/>
      <c r="F21" s="9"/>
      <c r="G21" s="193">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13"/>
      <c r="BL21" s="213"/>
    </row>
    <row r="22" spans="1:64" hidden="1" outlineLevel="1">
      <c r="A22" s="9"/>
      <c r="B22" s="9"/>
      <c r="C22" s="46"/>
      <c r="D22" s="130">
        <f>Asset16</f>
        <v>0</v>
      </c>
      <c r="E22" s="9"/>
      <c r="F22" s="9"/>
      <c r="G22" s="193">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13"/>
      <c r="BL22" s="213"/>
    </row>
    <row r="23" spans="1:64" hidden="1" outlineLevel="1">
      <c r="A23" s="9"/>
      <c r="B23" s="9"/>
      <c r="C23" s="46"/>
      <c r="D23" s="130">
        <f>Asset17</f>
        <v>0</v>
      </c>
      <c r="E23" s="9"/>
      <c r="F23" s="9"/>
      <c r="G23" s="193">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13"/>
      <c r="BL23" s="213"/>
    </row>
    <row r="24" spans="1:64" hidden="1" outlineLevel="1">
      <c r="A24" s="9"/>
      <c r="B24" s="9"/>
      <c r="C24" s="46"/>
      <c r="D24" s="130">
        <f>Asset18</f>
        <v>0</v>
      </c>
      <c r="E24" s="9"/>
      <c r="F24" s="9"/>
      <c r="G24" s="193">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13"/>
      <c r="BL24" s="213"/>
    </row>
    <row r="25" spans="1:64" hidden="1" outlineLevel="1">
      <c r="A25" s="9"/>
      <c r="B25" s="9"/>
      <c r="C25" s="46"/>
      <c r="D25" s="130">
        <f>Asset19</f>
        <v>0</v>
      </c>
      <c r="E25" s="9"/>
      <c r="F25" s="9"/>
      <c r="G25" s="193">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13"/>
      <c r="BL25" s="213"/>
    </row>
    <row r="26" spans="1:64" hidden="1" outlineLevel="1">
      <c r="A26" s="9"/>
      <c r="B26" s="9"/>
      <c r="C26" s="46"/>
      <c r="D26" s="130">
        <f>Asset20</f>
        <v>0</v>
      </c>
      <c r="E26" s="9"/>
      <c r="F26" s="9"/>
      <c r="G26" s="193">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13"/>
      <c r="BL26" s="213"/>
    </row>
    <row r="27" spans="1:64" hidden="1" outlineLevel="1">
      <c r="A27" s="9"/>
      <c r="B27" s="9"/>
      <c r="C27" s="46"/>
      <c r="D27" s="130">
        <f>Asset21</f>
        <v>0</v>
      </c>
      <c r="E27" s="9"/>
      <c r="F27" s="9"/>
      <c r="G27" s="193">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13"/>
      <c r="BL27" s="213"/>
    </row>
    <row r="28" spans="1:64" hidden="1" outlineLevel="1">
      <c r="A28" s="9"/>
      <c r="B28" s="9"/>
      <c r="C28" s="46"/>
      <c r="D28" s="130">
        <f>Asset22</f>
        <v>0</v>
      </c>
      <c r="E28" s="9"/>
      <c r="F28" s="9"/>
      <c r="G28" s="193">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13"/>
      <c r="BL28" s="213"/>
    </row>
    <row r="29" spans="1:64" hidden="1" outlineLevel="1">
      <c r="A29" s="9"/>
      <c r="B29" s="9"/>
      <c r="C29" s="46"/>
      <c r="D29" s="130">
        <f>Asset23</f>
        <v>0</v>
      </c>
      <c r="E29" s="9"/>
      <c r="F29" s="9"/>
      <c r="G29" s="193">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13"/>
      <c r="BL29" s="213"/>
    </row>
    <row r="30" spans="1:64" hidden="1" outlineLevel="1">
      <c r="A30" s="9"/>
      <c r="B30" s="9"/>
      <c r="C30" s="46"/>
      <c r="D30" s="130">
        <f>Asset24</f>
        <v>0</v>
      </c>
      <c r="E30" s="9"/>
      <c r="F30" s="9"/>
      <c r="G30" s="193">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13"/>
      <c r="BL30" s="213"/>
    </row>
    <row r="31" spans="1:64" hidden="1" outlineLevel="1">
      <c r="A31" s="9"/>
      <c r="B31" s="9"/>
      <c r="C31" s="46"/>
      <c r="D31" s="130">
        <f>Asset25</f>
        <v>0</v>
      </c>
      <c r="E31" s="9"/>
      <c r="F31" s="9"/>
      <c r="G31" s="193">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13"/>
      <c r="BL31" s="213"/>
    </row>
    <row r="32" spans="1:64" hidden="1" outlineLevel="1">
      <c r="A32" s="9"/>
      <c r="B32" s="9"/>
      <c r="C32" s="46"/>
      <c r="D32" s="130">
        <f>Asset26</f>
        <v>0</v>
      </c>
      <c r="E32" s="9"/>
      <c r="F32" s="9"/>
      <c r="G32" s="193">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13"/>
      <c r="BL32" s="213"/>
    </row>
    <row r="33" spans="1:64" hidden="1" outlineLevel="1">
      <c r="A33" s="9"/>
      <c r="B33" s="9"/>
      <c r="C33" s="46"/>
      <c r="D33" s="130">
        <f>Asset27</f>
        <v>0</v>
      </c>
      <c r="E33" s="9"/>
      <c r="F33" s="9"/>
      <c r="G33" s="193">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13"/>
      <c r="BL33" s="213"/>
    </row>
    <row r="34" spans="1:64" hidden="1" outlineLevel="1">
      <c r="A34" s="9"/>
      <c r="B34" s="9"/>
      <c r="C34" s="46"/>
      <c r="D34" s="130">
        <f>Asset28</f>
        <v>0</v>
      </c>
      <c r="E34" s="9"/>
      <c r="F34" s="9"/>
      <c r="G34" s="193">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13"/>
      <c r="BL34" s="213"/>
    </row>
    <row r="35" spans="1:64" hidden="1" outlineLevel="1">
      <c r="A35" s="9"/>
      <c r="B35" s="9"/>
      <c r="C35" s="46"/>
      <c r="D35" s="130">
        <f>Asset29</f>
        <v>0</v>
      </c>
      <c r="E35" s="9"/>
      <c r="F35" s="9"/>
      <c r="G35" s="193">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13"/>
      <c r="BL35" s="213"/>
    </row>
    <row r="36" spans="1:64" hidden="1" outlineLevel="1">
      <c r="A36" s="9"/>
      <c r="B36" s="9"/>
      <c r="C36" s="46"/>
      <c r="D36" s="130">
        <f>Asset30</f>
        <v>0</v>
      </c>
      <c r="E36" s="9"/>
      <c r="F36" s="9"/>
      <c r="G36" s="193">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13"/>
      <c r="BL36" s="213"/>
    </row>
    <row r="37" spans="1:64" collapsed="1">
      <c r="A37" s="9"/>
      <c r="B37" s="9"/>
      <c r="C37" s="46"/>
      <c r="D37" s="114"/>
      <c r="E37" s="9"/>
      <c r="F37" s="9"/>
      <c r="G37" s="203"/>
      <c r="H37" s="37"/>
      <c r="I37" s="37"/>
      <c r="J37" s="37"/>
      <c r="K37" s="37"/>
      <c r="L37" s="37"/>
      <c r="M37" s="37"/>
      <c r="N37" s="101"/>
      <c r="O37" s="29"/>
      <c r="P37" s="29"/>
      <c r="Q37" s="29"/>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13"/>
      <c r="BL37" s="213"/>
    </row>
    <row r="38" spans="1:64">
      <c r="A38" s="9"/>
      <c r="B38" s="9"/>
      <c r="C38" s="46" t="s">
        <v>36</v>
      </c>
      <c r="D38" s="9"/>
      <c r="E38" s="9"/>
      <c r="F38" s="9"/>
      <c r="G38" s="194">
        <f>SUM(G39:G68)</f>
        <v>125.76363773002549</v>
      </c>
      <c r="H38" s="37">
        <f>SUM(H39:H68)</f>
        <v>140.60621139630044</v>
      </c>
      <c r="I38" s="37">
        <f t="shared" ref="I38:Q38" si="6">SUM(I39:I68)</f>
        <v>117.98095342219121</v>
      </c>
      <c r="J38" s="37">
        <f t="shared" si="6"/>
        <v>141.39968054929858</v>
      </c>
      <c r="K38" s="37">
        <f t="shared" si="6"/>
        <v>156.16307025848849</v>
      </c>
      <c r="L38" s="37">
        <f t="shared" si="6"/>
        <v>187.26717832303365</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13"/>
      <c r="BL38" s="213"/>
    </row>
    <row r="39" spans="1:64" hidden="1" outlineLevel="1">
      <c r="A39" s="9"/>
      <c r="B39" s="9"/>
      <c r="C39" s="46"/>
      <c r="D39" s="130" t="str">
        <f>Asset1</f>
        <v>Subtransmission</v>
      </c>
      <c r="E39" s="9"/>
      <c r="F39" s="9"/>
      <c r="G39" s="193">
        <f>'Actual RAB roll forward'!G470</f>
        <v>21.188638065017898</v>
      </c>
      <c r="H39" s="112">
        <f>'Actual RAB roll forward'!H470</f>
        <v>86.231970336090285</v>
      </c>
      <c r="I39" s="112">
        <f>'Actual RAB roll forward'!I470</f>
        <v>29.861652483950483</v>
      </c>
      <c r="J39" s="112">
        <f>'Actual RAB roll forward'!J470</f>
        <v>60.889157142058892</v>
      </c>
      <c r="K39" s="112">
        <f>'Actual RAB roll forward'!K470</f>
        <v>28.919737115218876</v>
      </c>
      <c r="L39" s="112">
        <f>'Actual RAB roll forward'!L470</f>
        <v>44.441857678539407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13"/>
      <c r="BL39" s="213"/>
    </row>
    <row r="40" spans="1:64" hidden="1" outlineLevel="1">
      <c r="A40" s="9"/>
      <c r="B40" s="9"/>
      <c r="C40" s="46"/>
      <c r="D40" s="130" t="str">
        <f>Asset2</f>
        <v>Distribution system assets</v>
      </c>
      <c r="E40" s="9"/>
      <c r="F40" s="9"/>
      <c r="G40" s="193">
        <f>'Actual RAB roll forward'!G471</f>
        <v>94.705826815053854</v>
      </c>
      <c r="H40" s="112">
        <f>'Actual RAB roll forward'!H471</f>
        <v>45.818028379792182</v>
      </c>
      <c r="I40" s="112">
        <f>'Actual RAB roll forward'!I471</f>
        <v>78.178225601303581</v>
      </c>
      <c r="J40" s="112">
        <f>'Actual RAB roll forward'!J471</f>
        <v>69.77307020553144</v>
      </c>
      <c r="K40" s="112">
        <f>'Actual RAB roll forward'!K471</f>
        <v>110.26370235795002</v>
      </c>
      <c r="L40" s="112">
        <f>'Actual RAB roll forward'!L471</f>
        <v>121.56507086898429</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13"/>
      <c r="BL40" s="213"/>
    </row>
    <row r="41" spans="1:64" hidden="1" outlineLevel="1">
      <c r="A41" s="9"/>
      <c r="B41" s="9"/>
      <c r="C41" s="46"/>
      <c r="D41" s="130" t="str">
        <f>Asset3</f>
        <v>Standard metering</v>
      </c>
      <c r="E41" s="9"/>
      <c r="F41" s="9"/>
      <c r="G41" s="193">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13"/>
      <c r="BL41" s="213"/>
    </row>
    <row r="42" spans="1:64" hidden="1" outlineLevel="1">
      <c r="A42" s="9"/>
      <c r="B42" s="9"/>
      <c r="C42" s="46"/>
      <c r="D42" s="130" t="str">
        <f>Asset4</f>
        <v>Public lighting</v>
      </c>
      <c r="E42" s="9"/>
      <c r="F42" s="9"/>
      <c r="G42" s="193">
        <f>'Actual RAB roll forward'!G473</f>
        <v>0</v>
      </c>
      <c r="H42" s="112">
        <f>'Actual RAB roll forward'!H473</f>
        <v>0</v>
      </c>
      <c r="I42" s="112">
        <f>'Actual RAB roll forward'!I473</f>
        <v>0</v>
      </c>
      <c r="J42" s="112">
        <f>'Actual RAB roll forward'!J473</f>
        <v>0</v>
      </c>
      <c r="K42" s="112">
        <f>'Actual RAB roll forward'!K473</f>
        <v>0</v>
      </c>
      <c r="L42" s="112">
        <f>'Actual RAB roll forward'!L473</f>
        <v>0</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13"/>
      <c r="BL42" s="213"/>
    </row>
    <row r="43" spans="1:64" hidden="1" outlineLevel="1">
      <c r="A43" s="9"/>
      <c r="B43" s="9"/>
      <c r="C43" s="46"/>
      <c r="D43" s="130" t="str">
        <f>Asset5</f>
        <v>SCADA/Network control</v>
      </c>
      <c r="E43" s="9"/>
      <c r="F43" s="9"/>
      <c r="G43" s="193">
        <f>'Actual RAB roll forward'!G474</f>
        <v>2.653848514099213</v>
      </c>
      <c r="H43" s="112">
        <f>'Actual RAB roll forward'!H474</f>
        <v>0.94521809378402388</v>
      </c>
      <c r="I43" s="112">
        <f>'Actual RAB roll forward'!I474</f>
        <v>3.5366602542787624</v>
      </c>
      <c r="J43" s="112">
        <f>'Actual RAB roll forward'!J474</f>
        <v>2.7733015639745746</v>
      </c>
      <c r="K43" s="112">
        <f>'Actual RAB roll forward'!K474</f>
        <v>2.7519109895989673</v>
      </c>
      <c r="L43" s="112">
        <f>'Actual RAB roll forward'!L474</f>
        <v>2.2380296448481447</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13"/>
      <c r="BL43" s="213"/>
    </row>
    <row r="44" spans="1:64" hidden="1" outlineLevel="1">
      <c r="A44" s="9"/>
      <c r="B44" s="9"/>
      <c r="C44" s="46"/>
      <c r="D44" s="130" t="str">
        <f>Asset6</f>
        <v>Non-network general assets - IT</v>
      </c>
      <c r="E44" s="9"/>
      <c r="F44" s="9"/>
      <c r="G44" s="193">
        <f>'Actual RAB roll forward'!G475</f>
        <v>4.9837282671718182</v>
      </c>
      <c r="H44" s="112">
        <f>'Actual RAB roll forward'!H475</f>
        <v>3.7099723927623169</v>
      </c>
      <c r="I44" s="112">
        <f>'Actual RAB roll forward'!I475</f>
        <v>6.1720230301039729</v>
      </c>
      <c r="J44" s="112">
        <f>'Actual RAB roll forward'!J475</f>
        <v>5.3244978952058419</v>
      </c>
      <c r="K44" s="112">
        <f>'Actual RAB roll forward'!K475</f>
        <v>9.0933169030375698</v>
      </c>
      <c r="L44" s="112">
        <f>'Actual RAB roll forward'!L475</f>
        <v>16.198319795047837</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13"/>
      <c r="BL44" s="213"/>
    </row>
    <row r="45" spans="1:64" hidden="1" outlineLevel="1">
      <c r="A45" s="9"/>
      <c r="B45" s="9"/>
      <c r="C45" s="46"/>
      <c r="D45" s="130" t="str">
        <f>Asset7</f>
        <v>Non-network general assets - Other</v>
      </c>
      <c r="E45" s="9"/>
      <c r="F45" s="9"/>
      <c r="G45" s="193">
        <f>'Actual RAB roll forward'!G476</f>
        <v>2.2315960686827254</v>
      </c>
      <c r="H45" s="112">
        <f>'Actual RAB roll forward'!H476</f>
        <v>0.97317543932887141</v>
      </c>
      <c r="I45" s="112">
        <f>'Actual RAB roll forward'!I476</f>
        <v>0.23239205255442272</v>
      </c>
      <c r="J45" s="112">
        <f>'Actual RAB roll forward'!J476</f>
        <v>2.6396537425278481</v>
      </c>
      <c r="K45" s="112">
        <f>'Actual RAB roll forward'!K476</f>
        <v>5.1344028926830454</v>
      </c>
      <c r="L45" s="112">
        <f>'Actual RAB roll forward'!L476</f>
        <v>2.8239003356139682</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13"/>
      <c r="BL45" s="213"/>
    </row>
    <row r="46" spans="1:64" hidden="1" outlineLevel="1">
      <c r="A46" s="9"/>
      <c r="B46" s="9"/>
      <c r="C46" s="46"/>
      <c r="D46" s="130" t="str">
        <f>Asset8</f>
        <v>VBRC</v>
      </c>
      <c r="E46" s="9"/>
      <c r="F46" s="9"/>
      <c r="G46" s="193">
        <f>'Actual RAB roll forward'!G477</f>
        <v>0</v>
      </c>
      <c r="H46" s="112">
        <f>'Actual RAB roll forward'!H477</f>
        <v>0</v>
      </c>
      <c r="I46" s="112">
        <f>'Actual RAB roll forward'!I477</f>
        <v>0</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13"/>
      <c r="BL46" s="213"/>
    </row>
    <row r="47" spans="1:64" hidden="1" outlineLevel="1">
      <c r="A47" s="9"/>
      <c r="B47" s="9"/>
      <c r="C47" s="46"/>
      <c r="D47" s="130" t="str">
        <f>Asset9</f>
        <v>Equity raising</v>
      </c>
      <c r="E47" s="9"/>
      <c r="F47" s="9"/>
      <c r="G47" s="193">
        <f>'Actual RAB roll forward'!G478</f>
        <v>0</v>
      </c>
      <c r="H47" s="112">
        <f>'Actual RAB roll forward'!H478</f>
        <v>2.9278467545427507</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13"/>
      <c r="BL47" s="213"/>
    </row>
    <row r="48" spans="1:64" hidden="1" outlineLevel="1">
      <c r="A48" s="9"/>
      <c r="B48" s="9"/>
      <c r="C48" s="46"/>
      <c r="D48" s="130">
        <f>Asset10</f>
        <v>0</v>
      </c>
      <c r="E48" s="9"/>
      <c r="F48" s="9"/>
      <c r="G48" s="193">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13"/>
      <c r="BL48" s="213"/>
    </row>
    <row r="49" spans="1:64" hidden="1" outlineLevel="1">
      <c r="A49" s="9"/>
      <c r="B49" s="9"/>
      <c r="C49" s="46"/>
      <c r="D49" s="130">
        <f>Asset11</f>
        <v>0</v>
      </c>
      <c r="E49" s="9"/>
      <c r="F49" s="9"/>
      <c r="G49" s="193">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13"/>
      <c r="BL49" s="213"/>
    </row>
    <row r="50" spans="1:64" hidden="1" outlineLevel="1">
      <c r="A50" s="9"/>
      <c r="B50" s="9"/>
      <c r="C50" s="46"/>
      <c r="D50" s="130">
        <f>Asset12</f>
        <v>0</v>
      </c>
      <c r="E50" s="9"/>
      <c r="F50" s="9"/>
      <c r="G50" s="193">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13"/>
      <c r="BL50" s="213"/>
    </row>
    <row r="51" spans="1:64" hidden="1" outlineLevel="1">
      <c r="A51" s="9"/>
      <c r="B51" s="9"/>
      <c r="C51" s="46"/>
      <c r="D51" s="130">
        <f>Asset13</f>
        <v>0</v>
      </c>
      <c r="E51" s="9"/>
      <c r="F51" s="9"/>
      <c r="G51" s="193">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13"/>
      <c r="BL51" s="213"/>
    </row>
    <row r="52" spans="1:64" hidden="1" outlineLevel="1">
      <c r="A52" s="9"/>
      <c r="B52" s="9"/>
      <c r="C52" s="46"/>
      <c r="D52" s="130">
        <f>Asset14</f>
        <v>0</v>
      </c>
      <c r="E52" s="9"/>
      <c r="F52" s="9"/>
      <c r="G52" s="193">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13"/>
      <c r="BL52" s="213"/>
    </row>
    <row r="53" spans="1:64" hidden="1" outlineLevel="1">
      <c r="A53" s="9"/>
      <c r="B53" s="9"/>
      <c r="C53" s="46"/>
      <c r="D53" s="130">
        <f>Asset15</f>
        <v>0</v>
      </c>
      <c r="E53" s="9"/>
      <c r="F53" s="9"/>
      <c r="G53" s="193">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13"/>
      <c r="BL53" s="213"/>
    </row>
    <row r="54" spans="1:64" hidden="1" outlineLevel="1">
      <c r="A54" s="9"/>
      <c r="B54" s="9"/>
      <c r="C54" s="46"/>
      <c r="D54" s="130">
        <f>Asset16</f>
        <v>0</v>
      </c>
      <c r="E54" s="9"/>
      <c r="F54" s="9"/>
      <c r="G54" s="193">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13"/>
      <c r="BL54" s="213"/>
    </row>
    <row r="55" spans="1:64" hidden="1" outlineLevel="1">
      <c r="A55" s="9"/>
      <c r="B55" s="9"/>
      <c r="C55" s="46"/>
      <c r="D55" s="130">
        <f>Asset17</f>
        <v>0</v>
      </c>
      <c r="E55" s="9"/>
      <c r="F55" s="9"/>
      <c r="G55" s="193">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13"/>
      <c r="BL55" s="213"/>
    </row>
    <row r="56" spans="1:64" hidden="1" outlineLevel="1">
      <c r="A56" s="9"/>
      <c r="B56" s="9"/>
      <c r="C56" s="46"/>
      <c r="D56" s="130">
        <f>Asset18</f>
        <v>0</v>
      </c>
      <c r="E56" s="9"/>
      <c r="F56" s="9"/>
      <c r="G56" s="193">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13"/>
      <c r="BL56" s="213"/>
    </row>
    <row r="57" spans="1:64" hidden="1" outlineLevel="1">
      <c r="A57" s="9"/>
      <c r="B57" s="9"/>
      <c r="C57" s="46"/>
      <c r="D57" s="130">
        <f>Asset19</f>
        <v>0</v>
      </c>
      <c r="E57" s="9"/>
      <c r="F57" s="9"/>
      <c r="G57" s="193">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13"/>
      <c r="BL57" s="213"/>
    </row>
    <row r="58" spans="1:64" hidden="1" outlineLevel="1">
      <c r="A58" s="9"/>
      <c r="B58" s="9"/>
      <c r="C58" s="46"/>
      <c r="D58" s="130">
        <f>Asset20</f>
        <v>0</v>
      </c>
      <c r="E58" s="9"/>
      <c r="F58" s="9"/>
      <c r="G58" s="193">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13"/>
      <c r="BL58" s="213"/>
    </row>
    <row r="59" spans="1:64" hidden="1" outlineLevel="1">
      <c r="A59" s="9"/>
      <c r="B59" s="9"/>
      <c r="C59" s="46"/>
      <c r="D59" s="130">
        <f>Asset21</f>
        <v>0</v>
      </c>
      <c r="E59" s="9"/>
      <c r="F59" s="9"/>
      <c r="G59" s="193">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13"/>
      <c r="BL59" s="213"/>
    </row>
    <row r="60" spans="1:64" hidden="1" outlineLevel="1">
      <c r="A60" s="9"/>
      <c r="B60" s="9"/>
      <c r="C60" s="46"/>
      <c r="D60" s="130">
        <f>Asset22</f>
        <v>0</v>
      </c>
      <c r="E60" s="9"/>
      <c r="F60" s="9"/>
      <c r="G60" s="193">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13"/>
      <c r="BL60" s="213"/>
    </row>
    <row r="61" spans="1:64" hidden="1" outlineLevel="1">
      <c r="A61" s="9"/>
      <c r="B61" s="9"/>
      <c r="C61" s="46"/>
      <c r="D61" s="130">
        <f>Asset23</f>
        <v>0</v>
      </c>
      <c r="E61" s="9"/>
      <c r="F61" s="9"/>
      <c r="G61" s="193">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13"/>
      <c r="BL61" s="213"/>
    </row>
    <row r="62" spans="1:64" hidden="1" outlineLevel="1">
      <c r="A62" s="9"/>
      <c r="B62" s="9"/>
      <c r="C62" s="46"/>
      <c r="D62" s="130">
        <f>Asset24</f>
        <v>0</v>
      </c>
      <c r="E62" s="9"/>
      <c r="F62" s="9"/>
      <c r="G62" s="193">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13"/>
      <c r="BL62" s="213"/>
    </row>
    <row r="63" spans="1:64" hidden="1" outlineLevel="1">
      <c r="A63" s="9"/>
      <c r="B63" s="9"/>
      <c r="C63" s="46"/>
      <c r="D63" s="130">
        <f>Asset25</f>
        <v>0</v>
      </c>
      <c r="E63" s="9"/>
      <c r="F63" s="9"/>
      <c r="G63" s="193">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13"/>
      <c r="BL63" s="213"/>
    </row>
    <row r="64" spans="1:64" hidden="1" outlineLevel="1">
      <c r="A64" s="9"/>
      <c r="B64" s="9"/>
      <c r="C64" s="46"/>
      <c r="D64" s="130">
        <f>Asset26</f>
        <v>0</v>
      </c>
      <c r="E64" s="9"/>
      <c r="F64" s="9"/>
      <c r="G64" s="193">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13"/>
      <c r="BL64" s="213"/>
    </row>
    <row r="65" spans="1:64" hidden="1" outlineLevel="1">
      <c r="A65" s="9"/>
      <c r="B65" s="9"/>
      <c r="C65" s="46"/>
      <c r="D65" s="130">
        <f>Asset27</f>
        <v>0</v>
      </c>
      <c r="E65" s="9"/>
      <c r="F65" s="9"/>
      <c r="G65" s="193">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13"/>
      <c r="BL65" s="213"/>
    </row>
    <row r="66" spans="1:64" hidden="1" outlineLevel="1">
      <c r="A66" s="9"/>
      <c r="B66" s="9"/>
      <c r="C66" s="46"/>
      <c r="D66" s="130">
        <f>Asset28</f>
        <v>0</v>
      </c>
      <c r="E66" s="9"/>
      <c r="F66" s="9"/>
      <c r="G66" s="193">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13"/>
      <c r="BL66" s="213"/>
    </row>
    <row r="67" spans="1:64" hidden="1" outlineLevel="1">
      <c r="A67" s="9"/>
      <c r="B67" s="9"/>
      <c r="C67" s="46"/>
      <c r="D67" s="130">
        <f>Asset29</f>
        <v>0</v>
      </c>
      <c r="E67" s="9"/>
      <c r="F67" s="9"/>
      <c r="G67" s="193">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13"/>
      <c r="BL67" s="213"/>
    </row>
    <row r="68" spans="1:64" hidden="1" outlineLevel="1">
      <c r="A68" s="9"/>
      <c r="B68" s="9"/>
      <c r="C68" s="46"/>
      <c r="D68" s="130">
        <f>Asset30</f>
        <v>0</v>
      </c>
      <c r="E68" s="9"/>
      <c r="F68" s="9"/>
      <c r="G68" s="193">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13"/>
      <c r="BL68" s="213"/>
    </row>
    <row r="69" spans="1:64" collapsed="1">
      <c r="A69" s="9"/>
      <c r="B69" s="9"/>
      <c r="C69" s="46"/>
      <c r="D69" s="114"/>
      <c r="E69" s="9"/>
      <c r="F69" s="9"/>
      <c r="G69" s="203"/>
      <c r="H69" s="37"/>
      <c r="I69" s="37"/>
      <c r="J69" s="37"/>
      <c r="K69" s="37"/>
      <c r="L69" s="37"/>
      <c r="M69" s="37"/>
      <c r="N69" s="101"/>
      <c r="O69" s="29"/>
      <c r="P69" s="29"/>
      <c r="Q69" s="29"/>
      <c r="R69" s="29"/>
      <c r="S69" s="101"/>
      <c r="T69" s="101"/>
      <c r="U69" s="101"/>
      <c r="V69" s="101"/>
      <c r="W69" s="101"/>
      <c r="X69" s="101"/>
      <c r="Y69" s="101"/>
      <c r="Z69" s="101"/>
      <c r="AA69" s="101"/>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13"/>
      <c r="BL69" s="213"/>
    </row>
    <row r="70" spans="1:64">
      <c r="A70" s="9"/>
      <c r="B70" s="9"/>
      <c r="C70" s="218" t="s">
        <v>75</v>
      </c>
      <c r="D70" s="213"/>
      <c r="E70" s="9"/>
      <c r="F70" s="9"/>
      <c r="G70" s="194">
        <f>SUM(G71:G100)</f>
        <v>-56.666342363283739</v>
      </c>
      <c r="H70" s="37">
        <f>SUM(H71:H100)</f>
        <v>-32.119275284116796</v>
      </c>
      <c r="I70" s="37">
        <f t="shared" ref="I70:Q70" si="7">SUM(I71:I100)</f>
        <v>-24.902918102864916</v>
      </c>
      <c r="J70" s="37">
        <f t="shared" si="7"/>
        <v>-49.266341716909835</v>
      </c>
      <c r="K70" s="37">
        <f t="shared" si="7"/>
        <v>-50.738935101340253</v>
      </c>
      <c r="L70" s="37">
        <f t="shared" si="7"/>
        <v>-53.134204590138211</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13"/>
      <c r="BL70" s="213"/>
    </row>
    <row r="71" spans="1:64" hidden="1" outlineLevel="1">
      <c r="A71" s="9"/>
      <c r="B71" s="9"/>
      <c r="C71" s="46"/>
      <c r="D71" s="130" t="str">
        <f>Asset1</f>
        <v>Subtransmission</v>
      </c>
      <c r="E71" s="9"/>
      <c r="F71" s="9"/>
      <c r="G71" s="193">
        <f>'Actual RAB roll forward'!G502</f>
        <v>-8.560933643561853</v>
      </c>
      <c r="H71" s="112">
        <f>'Actual RAB roll forward'!H502</f>
        <v>-2.4599258112889686</v>
      </c>
      <c r="I71" s="112">
        <f>'Actual RAB roll forward'!I502</f>
        <v>-0.42086986240468072</v>
      </c>
      <c r="J71" s="112">
        <f>'Actual RAB roll forward'!J502</f>
        <v>-4.184949312411181</v>
      </c>
      <c r="K71" s="112">
        <f>'Actual RAB roll forward'!K502</f>
        <v>-3.9925701792337831</v>
      </c>
      <c r="L71" s="112">
        <f>'Actual RAB roll forward'!L502</f>
        <v>-3.7900866522400083</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13"/>
      <c r="BL71" s="213"/>
    </row>
    <row r="72" spans="1:64" hidden="1" outlineLevel="1">
      <c r="A72" s="9"/>
      <c r="B72" s="9"/>
      <c r="C72" s="46"/>
      <c r="D72" s="130" t="str">
        <f>Asset2</f>
        <v>Distribution system assets</v>
      </c>
      <c r="E72" s="9"/>
      <c r="F72" s="9"/>
      <c r="G72" s="193">
        <f>'Actual RAB roll forward'!G503</f>
        <v>-30.506557915818007</v>
      </c>
      <c r="H72" s="112">
        <f>'Actual RAB roll forward'!H503</f>
        <v>-21.053117993240704</v>
      </c>
      <c r="I72" s="112">
        <f>'Actual RAB roll forward'!I503</f>
        <v>-15.148558466994956</v>
      </c>
      <c r="J72" s="112">
        <f>'Actual RAB roll forward'!J503</f>
        <v>-33.076123569850758</v>
      </c>
      <c r="K72" s="112">
        <f>'Actual RAB roll forward'!K503</f>
        <v>-33.142961519680313</v>
      </c>
      <c r="L72" s="112">
        <f>'Actual RAB roll forward'!L503</f>
        <v>-33.281571470746641</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13"/>
      <c r="BL72" s="213"/>
    </row>
    <row r="73" spans="1:64" hidden="1" outlineLevel="1">
      <c r="A73" s="9"/>
      <c r="B73" s="9"/>
      <c r="C73" s="46"/>
      <c r="D73" s="130" t="str">
        <f>Asset3</f>
        <v>Standard metering</v>
      </c>
      <c r="E73" s="9"/>
      <c r="F73" s="9"/>
      <c r="G73" s="193">
        <f>'Actual RAB roll forward'!G504</f>
        <v>-3.1558842313843654</v>
      </c>
      <c r="H73" s="112">
        <f>'Actual RAB roll forward'!H504</f>
        <v>-4.8876990536383467</v>
      </c>
      <c r="I73" s="112">
        <f>'Actual RAB roll forward'!I504</f>
        <v>-5.0130750698425199</v>
      </c>
      <c r="J73" s="112">
        <f>'Actual RAB roll forward'!J504</f>
        <v>-5.6836235916824043</v>
      </c>
      <c r="K73" s="112">
        <f>'Actual RAB roll forward'!K504</f>
        <v>-5.9013026065108676</v>
      </c>
      <c r="L73" s="112">
        <f>'Actual RAB roll forward'!L504</f>
        <v>-6.1553847366687178</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13"/>
      <c r="BL73" s="213"/>
    </row>
    <row r="74" spans="1:64" hidden="1" outlineLevel="1">
      <c r="A74" s="9"/>
      <c r="B74" s="9"/>
      <c r="C74" s="46"/>
      <c r="D74" s="130" t="str">
        <f>Asset4</f>
        <v>Public lighting</v>
      </c>
      <c r="E74" s="9"/>
      <c r="F74" s="9"/>
      <c r="G74" s="193">
        <f>'Actual RAB roll forward'!G505</f>
        <v>-0.45422246060488719</v>
      </c>
      <c r="H74" s="112">
        <f>'Actual RAB roll forward'!H505</f>
        <v>-0.50323165446951146</v>
      </c>
      <c r="I74" s="112">
        <f>'Actual RAB roll forward'!I505</f>
        <v>-0.47433447893053021</v>
      </c>
      <c r="J74" s="112">
        <f>'Actual RAB roll forward'!J505</f>
        <v>-0.64628697675609503</v>
      </c>
      <c r="K74" s="112">
        <f>'Actual RAB roll forward'!K505</f>
        <v>-0.66379117302023127</v>
      </c>
      <c r="L74" s="112">
        <f>'Actual RAB roll forward'!L505</f>
        <v>-0.68618718603988182</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13"/>
      <c r="BL74" s="213"/>
    </row>
    <row r="75" spans="1:64" hidden="1" outlineLevel="1">
      <c r="A75" s="9"/>
      <c r="B75" s="9"/>
      <c r="C75" s="46"/>
      <c r="D75" s="130" t="str">
        <f>Asset5</f>
        <v>SCADA/Network control</v>
      </c>
      <c r="E75" s="9"/>
      <c r="F75" s="9"/>
      <c r="G75" s="193">
        <f>'Actual RAB roll forward'!G506</f>
        <v>-2.166063639665591</v>
      </c>
      <c r="H75" s="112">
        <f>'Actual RAB roll forward'!H506</f>
        <v>-1.662524900276293</v>
      </c>
      <c r="I75" s="112">
        <f>'Actual RAB roll forward'!I506</f>
        <v>-1.7224422999285072</v>
      </c>
      <c r="J75" s="112">
        <f>'Actual RAB roll forward'!J506</f>
        <v>-2.2347007948575759</v>
      </c>
      <c r="K75" s="112">
        <f>'Actual RAB roll forward'!K506</f>
        <v>-2.4702629053636906</v>
      </c>
      <c r="L75" s="112">
        <f>'Actual RAB roll forward'!L506</f>
        <v>-2.7206397432745599</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13"/>
      <c r="BL75" s="213"/>
    </row>
    <row r="76" spans="1:64" hidden="1" outlineLevel="1">
      <c r="A76" s="9"/>
      <c r="B76" s="9"/>
      <c r="C76" s="46"/>
      <c r="D76" s="130" t="str">
        <f>Asset6</f>
        <v>Non-network general assets - IT</v>
      </c>
      <c r="E76" s="9"/>
      <c r="F76" s="9"/>
      <c r="G76" s="193">
        <f>'Actual RAB roll forward'!G507</f>
        <v>-10.503194478149721</v>
      </c>
      <c r="H76" s="112">
        <f>'Actual RAB roll forward'!H507</f>
        <v>-1.2704796497708743E-2</v>
      </c>
      <c r="I76" s="112">
        <f>'Actual RAB roll forward'!I507</f>
        <v>-0.52263302872814044</v>
      </c>
      <c r="J76" s="112">
        <f>'Actual RAB roll forward'!J507</f>
        <v>-1.529013017458428</v>
      </c>
      <c r="K76" s="112">
        <f>'Actual RAB roll forward'!K507</f>
        <v>-2.3759069276955529</v>
      </c>
      <c r="L76" s="112">
        <f>'Actual RAB roll forward'!L507</f>
        <v>-3.8134623777351448</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13"/>
      <c r="BL76" s="213"/>
    </row>
    <row r="77" spans="1:64" hidden="1" outlineLevel="1">
      <c r="A77" s="9"/>
      <c r="B77" s="9"/>
      <c r="C77" s="46"/>
      <c r="D77" s="130" t="str">
        <f>Asset7</f>
        <v>Non-network general assets - Other</v>
      </c>
      <c r="E77" s="9"/>
      <c r="F77" s="9"/>
      <c r="G77" s="193">
        <f>'Actual RAB roll forward'!G508</f>
        <v>-1.3194859940993175</v>
      </c>
      <c r="H77" s="112">
        <f>'Actual RAB roll forward'!H508</f>
        <v>-1.5400710747052662</v>
      </c>
      <c r="I77" s="112">
        <f>'Actual RAB roll forward'!I508</f>
        <v>-1.6390444872382548</v>
      </c>
      <c r="J77" s="112">
        <f>'Actual RAB roll forward'!J508</f>
        <v>-1.9047601784424102</v>
      </c>
      <c r="K77" s="112">
        <f>'Actual RAB roll forward'!K508</f>
        <v>-2.1883326532520355</v>
      </c>
      <c r="L77" s="112">
        <f>'Actual RAB roll forward'!L508</f>
        <v>-2.6857515364697337</v>
      </c>
      <c r="M77" s="112">
        <f>'Actual RAB roll forward'!M508</f>
        <v>0</v>
      </c>
      <c r="N77" s="112">
        <f>'Actual RAB roll forward'!N508</f>
        <v>0</v>
      </c>
      <c r="O77" s="112">
        <f>'Actual RAB roll forward'!O508</f>
        <v>0</v>
      </c>
      <c r="P77" s="112">
        <f>'Actual RAB roll forward'!P508</f>
        <v>0</v>
      </c>
      <c r="Q77" s="112">
        <f>'Actual RAB roll forward'!Q508</f>
        <v>0</v>
      </c>
      <c r="R77" s="29"/>
      <c r="S77" s="294"/>
      <c r="T77" s="101"/>
      <c r="U77" s="101"/>
      <c r="V77" s="101"/>
      <c r="W77" s="101"/>
      <c r="X77" s="101"/>
      <c r="Y77" s="101"/>
      <c r="Z77" s="101"/>
      <c r="AA77" s="101"/>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13"/>
      <c r="BL77" s="213"/>
    </row>
    <row r="78" spans="1:64" hidden="1" outlineLevel="1">
      <c r="A78" s="9"/>
      <c r="B78" s="9"/>
      <c r="C78" s="46"/>
      <c r="D78" s="130" t="str">
        <f>Asset8</f>
        <v>VBRC</v>
      </c>
      <c r="E78" s="9"/>
      <c r="F78" s="9"/>
      <c r="G78" s="193">
        <f>'Actual RAB roll forward'!G509</f>
        <v>0</v>
      </c>
      <c r="H78" s="112">
        <f>'Actual RAB roll forward'!H509</f>
        <v>0</v>
      </c>
      <c r="I78" s="112">
        <f>'Actual RAB roll forward'!I509</f>
        <v>0</v>
      </c>
      <c r="J78" s="112">
        <f>'Actual RAB roll forward'!J509</f>
        <v>0</v>
      </c>
      <c r="K78" s="112">
        <f>'Actual RAB roll forward'!K509</f>
        <v>0</v>
      </c>
      <c r="L78" s="112">
        <f>'Actual RAB roll forward'!L509</f>
        <v>0</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13"/>
      <c r="BL78" s="213"/>
    </row>
    <row r="79" spans="1:64" hidden="1" outlineLevel="1">
      <c r="A79" s="9"/>
      <c r="B79" s="9"/>
      <c r="C79" s="46"/>
      <c r="D79" s="130" t="str">
        <f>Asset9</f>
        <v>Equity raising</v>
      </c>
      <c r="E79" s="9"/>
      <c r="F79" s="9"/>
      <c r="G79" s="193">
        <f>'Actual RAB roll forward'!G510</f>
        <v>0</v>
      </c>
      <c r="H79" s="112">
        <f>'Actual RAB roll forward'!H510</f>
        <v>0</v>
      </c>
      <c r="I79" s="112">
        <f>'Actual RAB roll forward'!I510</f>
        <v>3.8039591202673029E-2</v>
      </c>
      <c r="J79" s="112">
        <f>'Actual RAB roll forward'!J510</f>
        <v>-6.8842754509887277E-3</v>
      </c>
      <c r="K79" s="112">
        <f>'Actual RAB roll forward'!K510</f>
        <v>-3.8071365837870214E-3</v>
      </c>
      <c r="L79" s="112">
        <f>'Actual RAB roll forward'!L510</f>
        <v>-1.1208869635362523E-3</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13"/>
      <c r="BL79" s="213"/>
    </row>
    <row r="80" spans="1:64" hidden="1" outlineLevel="1">
      <c r="A80" s="9"/>
      <c r="B80" s="9"/>
      <c r="C80" s="46"/>
      <c r="D80" s="130">
        <f>Asset10</f>
        <v>0</v>
      </c>
      <c r="E80" s="9"/>
      <c r="F80" s="9"/>
      <c r="G80" s="193">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13"/>
      <c r="BL80" s="213"/>
    </row>
    <row r="81" spans="1:64" hidden="1" outlineLevel="1">
      <c r="A81" s="9"/>
      <c r="B81" s="9"/>
      <c r="C81" s="46"/>
      <c r="D81" s="130">
        <f>Asset11</f>
        <v>0</v>
      </c>
      <c r="E81" s="9"/>
      <c r="F81" s="9"/>
      <c r="G81" s="193">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13"/>
      <c r="BL81" s="213"/>
    </row>
    <row r="82" spans="1:64" hidden="1" outlineLevel="1">
      <c r="A82" s="9"/>
      <c r="B82" s="9"/>
      <c r="C82" s="46"/>
      <c r="D82" s="130">
        <f>Asset12</f>
        <v>0</v>
      </c>
      <c r="E82" s="9"/>
      <c r="F82" s="9"/>
      <c r="G82" s="193">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13"/>
      <c r="BL82" s="213"/>
    </row>
    <row r="83" spans="1:64" hidden="1" outlineLevel="1">
      <c r="A83" s="9"/>
      <c r="B83" s="9"/>
      <c r="C83" s="46"/>
      <c r="D83" s="130">
        <f>Asset13</f>
        <v>0</v>
      </c>
      <c r="E83" s="9"/>
      <c r="F83" s="9"/>
      <c r="G83" s="193">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13"/>
      <c r="BL83" s="213"/>
    </row>
    <row r="84" spans="1:64" hidden="1" outlineLevel="1">
      <c r="A84" s="9"/>
      <c r="B84" s="9"/>
      <c r="C84" s="46"/>
      <c r="D84" s="130">
        <f>Asset14</f>
        <v>0</v>
      </c>
      <c r="E84" s="9"/>
      <c r="F84" s="9"/>
      <c r="G84" s="193">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13"/>
      <c r="BL84" s="213"/>
    </row>
    <row r="85" spans="1:64" hidden="1" outlineLevel="1">
      <c r="A85" s="9"/>
      <c r="B85" s="9"/>
      <c r="C85" s="46"/>
      <c r="D85" s="130">
        <f>Asset15</f>
        <v>0</v>
      </c>
      <c r="E85" s="9"/>
      <c r="F85" s="9"/>
      <c r="G85" s="193">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13"/>
      <c r="BL85" s="213"/>
    </row>
    <row r="86" spans="1:64" hidden="1" outlineLevel="1">
      <c r="A86" s="9"/>
      <c r="B86" s="9"/>
      <c r="C86" s="46"/>
      <c r="D86" s="130">
        <f>Asset16</f>
        <v>0</v>
      </c>
      <c r="E86" s="9"/>
      <c r="F86" s="9"/>
      <c r="G86" s="193">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13"/>
      <c r="BL86" s="213"/>
    </row>
    <row r="87" spans="1:64" hidden="1" outlineLevel="1">
      <c r="A87" s="9"/>
      <c r="B87" s="9"/>
      <c r="C87" s="46"/>
      <c r="D87" s="130">
        <f>Asset17</f>
        <v>0</v>
      </c>
      <c r="E87" s="9"/>
      <c r="F87" s="9"/>
      <c r="G87" s="193">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13"/>
      <c r="BL87" s="213"/>
    </row>
    <row r="88" spans="1:64" hidden="1" outlineLevel="1">
      <c r="A88" s="9"/>
      <c r="B88" s="9"/>
      <c r="C88" s="46"/>
      <c r="D88" s="130">
        <f>Asset18</f>
        <v>0</v>
      </c>
      <c r="E88" s="9"/>
      <c r="F88" s="9"/>
      <c r="G88" s="193">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13"/>
      <c r="BL88" s="213"/>
    </row>
    <row r="89" spans="1:64" hidden="1" outlineLevel="1">
      <c r="A89" s="9"/>
      <c r="B89" s="9"/>
      <c r="C89" s="46"/>
      <c r="D89" s="130">
        <f>Asset19</f>
        <v>0</v>
      </c>
      <c r="E89" s="9"/>
      <c r="F89" s="9"/>
      <c r="G89" s="193">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13"/>
      <c r="BL89" s="213"/>
    </row>
    <row r="90" spans="1:64" hidden="1" outlineLevel="1">
      <c r="A90" s="9"/>
      <c r="B90" s="9"/>
      <c r="C90" s="46"/>
      <c r="D90" s="130">
        <f>Asset20</f>
        <v>0</v>
      </c>
      <c r="E90" s="9"/>
      <c r="F90" s="9"/>
      <c r="G90" s="193">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13"/>
      <c r="BL90" s="213"/>
    </row>
    <row r="91" spans="1:64" hidden="1" outlineLevel="1">
      <c r="A91" s="9"/>
      <c r="B91" s="9"/>
      <c r="C91" s="46"/>
      <c r="D91" s="130">
        <f>Asset21</f>
        <v>0</v>
      </c>
      <c r="E91" s="9"/>
      <c r="F91" s="9"/>
      <c r="G91" s="193">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13"/>
      <c r="BL91" s="213"/>
    </row>
    <row r="92" spans="1:64" hidden="1" outlineLevel="1">
      <c r="A92" s="9"/>
      <c r="B92" s="9"/>
      <c r="C92" s="46"/>
      <c r="D92" s="130">
        <f>Asset22</f>
        <v>0</v>
      </c>
      <c r="E92" s="9"/>
      <c r="F92" s="9"/>
      <c r="G92" s="193">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13"/>
      <c r="BL92" s="213"/>
    </row>
    <row r="93" spans="1:64" hidden="1" outlineLevel="1">
      <c r="A93" s="9"/>
      <c r="B93" s="9"/>
      <c r="C93" s="46"/>
      <c r="D93" s="130">
        <f>Asset23</f>
        <v>0</v>
      </c>
      <c r="E93" s="9"/>
      <c r="F93" s="9"/>
      <c r="G93" s="193">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13"/>
      <c r="BL93" s="213"/>
    </row>
    <row r="94" spans="1:64" hidden="1" outlineLevel="1">
      <c r="A94" s="9"/>
      <c r="B94" s="9"/>
      <c r="C94" s="46"/>
      <c r="D94" s="130">
        <f>Asset24</f>
        <v>0</v>
      </c>
      <c r="E94" s="9"/>
      <c r="F94" s="9"/>
      <c r="G94" s="193">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13"/>
      <c r="BL94" s="213"/>
    </row>
    <row r="95" spans="1:64" hidden="1" outlineLevel="1">
      <c r="A95" s="9"/>
      <c r="B95" s="9"/>
      <c r="C95" s="46"/>
      <c r="D95" s="130">
        <f>Asset25</f>
        <v>0</v>
      </c>
      <c r="E95" s="9"/>
      <c r="F95" s="9"/>
      <c r="G95" s="193">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13"/>
      <c r="BL95" s="213"/>
    </row>
    <row r="96" spans="1:64" hidden="1" outlineLevel="1">
      <c r="A96" s="9"/>
      <c r="B96" s="9"/>
      <c r="C96" s="46"/>
      <c r="D96" s="130">
        <f>Asset26</f>
        <v>0</v>
      </c>
      <c r="E96" s="9"/>
      <c r="F96" s="9"/>
      <c r="G96" s="193">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13"/>
      <c r="BL96" s="213"/>
    </row>
    <row r="97" spans="1:64" hidden="1" outlineLevel="1">
      <c r="A97" s="9"/>
      <c r="B97" s="9"/>
      <c r="C97" s="46"/>
      <c r="D97" s="130">
        <f>Asset27</f>
        <v>0</v>
      </c>
      <c r="E97" s="9"/>
      <c r="F97" s="9"/>
      <c r="G97" s="193">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13"/>
      <c r="BL97" s="213"/>
    </row>
    <row r="98" spans="1:64" hidden="1" outlineLevel="1">
      <c r="A98" s="9"/>
      <c r="B98" s="9"/>
      <c r="C98" s="46"/>
      <c r="D98" s="130">
        <f>Asset28</f>
        <v>0</v>
      </c>
      <c r="E98" s="9"/>
      <c r="F98" s="9"/>
      <c r="G98" s="193">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13"/>
      <c r="BL98" s="213"/>
    </row>
    <row r="99" spans="1:64" hidden="1" outlineLevel="1">
      <c r="A99" s="9"/>
      <c r="B99" s="9"/>
      <c r="C99" s="46"/>
      <c r="D99" s="130">
        <f>Asset29</f>
        <v>0</v>
      </c>
      <c r="E99" s="9"/>
      <c r="F99" s="9"/>
      <c r="G99" s="193">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13"/>
      <c r="BL99" s="213"/>
    </row>
    <row r="100" spans="1:64" hidden="1" outlineLevel="1">
      <c r="A100" s="9"/>
      <c r="B100" s="9"/>
      <c r="C100" s="46"/>
      <c r="D100" s="130">
        <f>Asset30</f>
        <v>0</v>
      </c>
      <c r="E100" s="9"/>
      <c r="F100" s="9"/>
      <c r="G100" s="193">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13"/>
      <c r="BL100" s="213"/>
    </row>
    <row r="101" spans="1:64" collapsed="1">
      <c r="A101" s="9"/>
      <c r="B101" s="9"/>
      <c r="C101" s="46"/>
      <c r="D101" s="130"/>
      <c r="E101" s="9"/>
      <c r="F101" s="9"/>
      <c r="G101" s="203"/>
      <c r="H101" s="112"/>
      <c r="I101" s="112"/>
      <c r="J101" s="112"/>
      <c r="K101" s="112"/>
      <c r="L101" s="112"/>
      <c r="M101" s="112"/>
      <c r="N101" s="101"/>
      <c r="O101" s="29"/>
      <c r="P101" s="29"/>
      <c r="Q101" s="29"/>
      <c r="R101" s="29"/>
      <c r="S101" s="101"/>
      <c r="T101" s="101"/>
      <c r="U101" s="101"/>
      <c r="V101" s="101"/>
      <c r="W101" s="101"/>
      <c r="X101" s="101"/>
      <c r="Y101" s="101"/>
      <c r="Z101" s="101"/>
      <c r="AA101" s="101"/>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13"/>
      <c r="BL101" s="213"/>
    </row>
    <row r="102" spans="1:64">
      <c r="A102" s="9"/>
      <c r="B102" s="9"/>
      <c r="C102" s="46" t="s">
        <v>53</v>
      </c>
      <c r="D102" s="114"/>
      <c r="E102" s="9"/>
      <c r="F102" s="9"/>
      <c r="G102" s="199">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13"/>
      <c r="BL102" s="213"/>
    </row>
    <row r="103" spans="1:64" hidden="1" outlineLevel="1">
      <c r="A103" s="9"/>
      <c r="B103" s="9"/>
      <c r="C103" s="9"/>
      <c r="D103" s="130" t="str">
        <f>Asset1</f>
        <v>Subtransmission</v>
      </c>
      <c r="E103" s="9"/>
      <c r="F103" s="9"/>
      <c r="G103" s="196">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13"/>
      <c r="BL103" s="213"/>
    </row>
    <row r="104" spans="1:64" hidden="1" outlineLevel="1">
      <c r="A104" s="9"/>
      <c r="B104" s="9"/>
      <c r="C104" s="46"/>
      <c r="D104" s="130" t="str">
        <f>Asset2</f>
        <v>Distribution system assets</v>
      </c>
      <c r="E104" s="9"/>
      <c r="F104" s="9"/>
      <c r="G104" s="196">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13"/>
      <c r="BL104" s="213"/>
    </row>
    <row r="105" spans="1:64" hidden="1" outlineLevel="1">
      <c r="A105" s="9"/>
      <c r="B105" s="9"/>
      <c r="C105" s="46"/>
      <c r="D105" s="130" t="str">
        <f>Asset3</f>
        <v>Standard metering</v>
      </c>
      <c r="E105" s="9"/>
      <c r="F105" s="9"/>
      <c r="G105" s="196">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13"/>
      <c r="BL105" s="213"/>
    </row>
    <row r="106" spans="1:64" hidden="1" outlineLevel="1">
      <c r="A106" s="9"/>
      <c r="B106" s="9"/>
      <c r="C106" s="46"/>
      <c r="D106" s="130" t="str">
        <f>Asset4</f>
        <v>Public lighting</v>
      </c>
      <c r="E106" s="9"/>
      <c r="F106" s="9"/>
      <c r="G106" s="196">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13"/>
      <c r="BL106" s="213"/>
    </row>
    <row r="107" spans="1:64" hidden="1" outlineLevel="1">
      <c r="A107" s="9"/>
      <c r="B107" s="9"/>
      <c r="C107" s="46"/>
      <c r="D107" s="130" t="str">
        <f>Asset5</f>
        <v>SCADA/Network control</v>
      </c>
      <c r="E107" s="9"/>
      <c r="F107" s="9"/>
      <c r="G107" s="196">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13"/>
      <c r="BL107" s="213"/>
    </row>
    <row r="108" spans="1:64" hidden="1" outlineLevel="1">
      <c r="A108" s="9"/>
      <c r="B108" s="9"/>
      <c r="C108" s="46"/>
      <c r="D108" s="130" t="str">
        <f>Asset6</f>
        <v>Non-network general assets - IT</v>
      </c>
      <c r="E108" s="9"/>
      <c r="F108" s="9"/>
      <c r="G108" s="196">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13"/>
      <c r="BL108" s="213"/>
    </row>
    <row r="109" spans="1:64" hidden="1" outlineLevel="1">
      <c r="A109" s="9"/>
      <c r="B109" s="9"/>
      <c r="C109" s="46"/>
      <c r="D109" s="130" t="str">
        <f>Asset7</f>
        <v>Non-network general assets - Other</v>
      </c>
      <c r="E109" s="9"/>
      <c r="F109" s="9"/>
      <c r="G109" s="196">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13"/>
      <c r="BL109" s="213"/>
    </row>
    <row r="110" spans="1:64" hidden="1" outlineLevel="1">
      <c r="A110" s="9"/>
      <c r="B110" s="9"/>
      <c r="C110" s="46"/>
      <c r="D110" s="130" t="str">
        <f>Asset8</f>
        <v>VBRC</v>
      </c>
      <c r="E110" s="9"/>
      <c r="F110" s="9"/>
      <c r="G110" s="196">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13"/>
      <c r="BL110" s="213"/>
    </row>
    <row r="111" spans="1:64" hidden="1" outlineLevel="1">
      <c r="A111" s="9"/>
      <c r="B111" s="9"/>
      <c r="C111" s="46"/>
      <c r="D111" s="130" t="str">
        <f>Asset9</f>
        <v>Equity raising</v>
      </c>
      <c r="E111" s="9"/>
      <c r="F111" s="9"/>
      <c r="G111" s="196">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13"/>
      <c r="BL111" s="213"/>
    </row>
    <row r="112" spans="1:64" hidden="1" outlineLevel="1">
      <c r="A112" s="9"/>
      <c r="B112" s="9"/>
      <c r="C112" s="46"/>
      <c r="D112" s="130">
        <f>Asset10</f>
        <v>0</v>
      </c>
      <c r="E112" s="9"/>
      <c r="F112" s="9"/>
      <c r="G112" s="196">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13"/>
      <c r="BL112" s="213"/>
    </row>
    <row r="113" spans="1:64" hidden="1" outlineLevel="1">
      <c r="A113" s="9"/>
      <c r="B113" s="9"/>
      <c r="C113" s="46"/>
      <c r="D113" s="130">
        <f>Asset11</f>
        <v>0</v>
      </c>
      <c r="E113" s="9"/>
      <c r="F113" s="9"/>
      <c r="G113" s="196">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13"/>
      <c r="BL113" s="213"/>
    </row>
    <row r="114" spans="1:64" hidden="1" outlineLevel="1">
      <c r="A114" s="9"/>
      <c r="B114" s="9"/>
      <c r="C114" s="46"/>
      <c r="D114" s="130">
        <f>Asset12</f>
        <v>0</v>
      </c>
      <c r="E114" s="9"/>
      <c r="F114" s="9"/>
      <c r="G114" s="196">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13"/>
      <c r="BL114" s="213"/>
    </row>
    <row r="115" spans="1:64" hidden="1" outlineLevel="1">
      <c r="A115" s="9"/>
      <c r="B115" s="9"/>
      <c r="C115" s="46"/>
      <c r="D115" s="130">
        <f>Asset13</f>
        <v>0</v>
      </c>
      <c r="E115" s="9"/>
      <c r="F115" s="9"/>
      <c r="G115" s="196">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13"/>
      <c r="BL115" s="213"/>
    </row>
    <row r="116" spans="1:64" hidden="1" outlineLevel="1">
      <c r="A116" s="9"/>
      <c r="B116" s="9"/>
      <c r="C116" s="46"/>
      <c r="D116" s="130">
        <f>Asset14</f>
        <v>0</v>
      </c>
      <c r="E116" s="9"/>
      <c r="F116" s="9"/>
      <c r="G116" s="196">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13"/>
      <c r="BL116" s="213"/>
    </row>
    <row r="117" spans="1:64" hidden="1" outlineLevel="1">
      <c r="A117" s="9"/>
      <c r="B117" s="9"/>
      <c r="C117" s="46"/>
      <c r="D117" s="130">
        <f>Asset15</f>
        <v>0</v>
      </c>
      <c r="E117" s="9"/>
      <c r="F117" s="9"/>
      <c r="G117" s="196">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13"/>
      <c r="BL117" s="213"/>
    </row>
    <row r="118" spans="1:64" hidden="1" outlineLevel="1">
      <c r="A118" s="9"/>
      <c r="B118" s="9"/>
      <c r="C118" s="46"/>
      <c r="D118" s="130">
        <f>Asset16</f>
        <v>0</v>
      </c>
      <c r="E118" s="9"/>
      <c r="F118" s="9"/>
      <c r="G118" s="196">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13"/>
      <c r="BL118" s="213"/>
    </row>
    <row r="119" spans="1:64" hidden="1" outlineLevel="1">
      <c r="A119" s="9"/>
      <c r="B119" s="9"/>
      <c r="C119" s="46"/>
      <c r="D119" s="130">
        <f>Asset17</f>
        <v>0</v>
      </c>
      <c r="E119" s="9"/>
      <c r="F119" s="9"/>
      <c r="G119" s="196">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13"/>
      <c r="BL119" s="213"/>
    </row>
    <row r="120" spans="1:64" hidden="1" outlineLevel="1">
      <c r="A120" s="9"/>
      <c r="B120" s="9"/>
      <c r="C120" s="46"/>
      <c r="D120" s="130">
        <f>Asset18</f>
        <v>0</v>
      </c>
      <c r="E120" s="9"/>
      <c r="F120" s="9"/>
      <c r="G120" s="196">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13"/>
      <c r="BL120" s="213"/>
    </row>
    <row r="121" spans="1:64" hidden="1" outlineLevel="1">
      <c r="A121" s="9"/>
      <c r="B121" s="9"/>
      <c r="C121" s="46"/>
      <c r="D121" s="130">
        <f>Asset19</f>
        <v>0</v>
      </c>
      <c r="E121" s="9"/>
      <c r="F121" s="9"/>
      <c r="G121" s="196">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13"/>
      <c r="BL121" s="213"/>
    </row>
    <row r="122" spans="1:64" hidden="1" outlineLevel="1">
      <c r="A122" s="9"/>
      <c r="B122" s="9"/>
      <c r="C122" s="46"/>
      <c r="D122" s="130">
        <f>Asset20</f>
        <v>0</v>
      </c>
      <c r="E122" s="9"/>
      <c r="F122" s="9"/>
      <c r="G122" s="196">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13"/>
      <c r="BL122" s="213"/>
    </row>
    <row r="123" spans="1:64" hidden="1" outlineLevel="1">
      <c r="A123" s="9"/>
      <c r="B123" s="9"/>
      <c r="C123" s="46"/>
      <c r="D123" s="130">
        <f>Asset21</f>
        <v>0</v>
      </c>
      <c r="E123" s="9"/>
      <c r="F123" s="9"/>
      <c r="G123" s="196">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13"/>
      <c r="BL123" s="213"/>
    </row>
    <row r="124" spans="1:64" hidden="1" outlineLevel="1">
      <c r="A124" s="9"/>
      <c r="B124" s="9"/>
      <c r="C124" s="46"/>
      <c r="D124" s="130">
        <f>Asset22</f>
        <v>0</v>
      </c>
      <c r="E124" s="9"/>
      <c r="F124" s="9"/>
      <c r="G124" s="196">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13"/>
      <c r="BL124" s="213"/>
    </row>
    <row r="125" spans="1:64" hidden="1" outlineLevel="1">
      <c r="A125" s="9"/>
      <c r="B125" s="9"/>
      <c r="C125" s="46"/>
      <c r="D125" s="130">
        <f>Asset23</f>
        <v>0</v>
      </c>
      <c r="E125" s="9"/>
      <c r="F125" s="9"/>
      <c r="G125" s="196">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13"/>
      <c r="BL125" s="213"/>
    </row>
    <row r="126" spans="1:64" hidden="1" outlineLevel="1">
      <c r="A126" s="9"/>
      <c r="B126" s="9"/>
      <c r="C126" s="46"/>
      <c r="D126" s="130">
        <f>Asset24</f>
        <v>0</v>
      </c>
      <c r="E126" s="9"/>
      <c r="F126" s="9"/>
      <c r="G126" s="196">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13"/>
      <c r="BL126" s="213"/>
    </row>
    <row r="127" spans="1:64" hidden="1" outlineLevel="1">
      <c r="A127" s="9"/>
      <c r="B127" s="9"/>
      <c r="C127" s="46"/>
      <c r="D127" s="130">
        <f>Asset25</f>
        <v>0</v>
      </c>
      <c r="E127" s="9"/>
      <c r="F127" s="9"/>
      <c r="G127" s="196">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13"/>
      <c r="BL127" s="213"/>
    </row>
    <row r="128" spans="1:64" hidden="1" outlineLevel="1">
      <c r="A128" s="9"/>
      <c r="B128" s="9"/>
      <c r="C128" s="46"/>
      <c r="D128" s="130">
        <f>Asset26</f>
        <v>0</v>
      </c>
      <c r="E128" s="9"/>
      <c r="F128" s="9"/>
      <c r="G128" s="196">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13"/>
      <c r="BL128" s="213"/>
    </row>
    <row r="129" spans="1:64" hidden="1" outlineLevel="1">
      <c r="A129" s="9"/>
      <c r="B129" s="9"/>
      <c r="C129" s="46"/>
      <c r="D129" s="130">
        <f>Asset27</f>
        <v>0</v>
      </c>
      <c r="E129" s="9"/>
      <c r="F129" s="9"/>
      <c r="G129" s="196">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13"/>
      <c r="BL129" s="213"/>
    </row>
    <row r="130" spans="1:64" hidden="1" outlineLevel="1">
      <c r="A130" s="9"/>
      <c r="B130" s="9"/>
      <c r="C130" s="46"/>
      <c r="D130" s="130">
        <f>Asset28</f>
        <v>0</v>
      </c>
      <c r="E130" s="9"/>
      <c r="F130" s="9"/>
      <c r="G130" s="196">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13"/>
      <c r="BL130" s="213"/>
    </row>
    <row r="131" spans="1:64" hidden="1" outlineLevel="1">
      <c r="A131" s="9"/>
      <c r="B131" s="9"/>
      <c r="C131" s="46"/>
      <c r="D131" s="130">
        <f>Asset29</f>
        <v>0</v>
      </c>
      <c r="E131" s="9"/>
      <c r="F131" s="9"/>
      <c r="G131" s="196">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13"/>
      <c r="BL131" s="213"/>
    </row>
    <row r="132" spans="1:64" hidden="1" outlineLevel="1">
      <c r="A132" s="9"/>
      <c r="B132" s="9"/>
      <c r="C132" s="46"/>
      <c r="D132" s="130">
        <f>Asset30</f>
        <v>0</v>
      </c>
      <c r="E132" s="9"/>
      <c r="F132" s="9"/>
      <c r="G132" s="196">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13"/>
      <c r="BL132" s="213"/>
    </row>
    <row r="133" spans="1:64" s="9" customFormat="1" collapsed="1">
      <c r="G133" s="202"/>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 r="A134" s="9"/>
      <c r="B134" s="9"/>
      <c r="C134" s="46" t="s">
        <v>65</v>
      </c>
      <c r="D134" s="114"/>
      <c r="E134" s="9"/>
      <c r="F134" s="9"/>
      <c r="G134" s="199">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13"/>
      <c r="BL134" s="213"/>
    </row>
    <row r="135" spans="1:64" hidden="1" outlineLevel="1">
      <c r="A135" s="9"/>
      <c r="B135" s="9"/>
      <c r="C135" s="9"/>
      <c r="D135" s="130" t="str">
        <f>Asset1</f>
        <v>Subtransmission</v>
      </c>
      <c r="E135" s="9"/>
      <c r="F135" s="9"/>
      <c r="G135" s="196">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13"/>
      <c r="BL135" s="213"/>
    </row>
    <row r="136" spans="1:64" hidden="1" outlineLevel="1">
      <c r="A136" s="9"/>
      <c r="B136" s="9"/>
      <c r="C136" s="46"/>
      <c r="D136" s="130" t="str">
        <f>Asset2</f>
        <v>Distribution system assets</v>
      </c>
      <c r="E136" s="9"/>
      <c r="F136" s="9"/>
      <c r="G136" s="196">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13"/>
      <c r="BL136" s="213"/>
    </row>
    <row r="137" spans="1:64" hidden="1" outlineLevel="1">
      <c r="A137" s="9"/>
      <c r="B137" s="9"/>
      <c r="C137" s="46"/>
      <c r="D137" s="130" t="str">
        <f>Asset3</f>
        <v>Standard metering</v>
      </c>
      <c r="E137" s="9"/>
      <c r="F137" s="9"/>
      <c r="G137" s="196">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13"/>
      <c r="BL137" s="213"/>
    </row>
    <row r="138" spans="1:64" hidden="1" outlineLevel="1">
      <c r="A138" s="9"/>
      <c r="B138" s="9"/>
      <c r="C138" s="46"/>
      <c r="D138" s="130" t="str">
        <f>Asset4</f>
        <v>Public lighting</v>
      </c>
      <c r="E138" s="9"/>
      <c r="F138" s="9"/>
      <c r="G138" s="196">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13"/>
      <c r="BL138" s="213"/>
    </row>
    <row r="139" spans="1:64" hidden="1" outlineLevel="1">
      <c r="A139" s="9"/>
      <c r="B139" s="9"/>
      <c r="C139" s="46"/>
      <c r="D139" s="130" t="str">
        <f>Asset5</f>
        <v>SCADA/Network control</v>
      </c>
      <c r="E139" s="9"/>
      <c r="F139" s="9"/>
      <c r="G139" s="196">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13"/>
      <c r="BL139" s="213"/>
    </row>
    <row r="140" spans="1:64" hidden="1" outlineLevel="1">
      <c r="A140" s="9"/>
      <c r="B140" s="9"/>
      <c r="C140" s="46"/>
      <c r="D140" s="130" t="str">
        <f>Asset6</f>
        <v>Non-network general assets - IT</v>
      </c>
      <c r="E140" s="9"/>
      <c r="F140" s="9"/>
      <c r="G140" s="196">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13"/>
      <c r="BL140" s="213"/>
    </row>
    <row r="141" spans="1:64" hidden="1" outlineLevel="1">
      <c r="A141" s="9"/>
      <c r="B141" s="9"/>
      <c r="C141" s="46"/>
      <c r="D141" s="130" t="str">
        <f>Asset7</f>
        <v>Non-network general assets - Other</v>
      </c>
      <c r="E141" s="9"/>
      <c r="F141" s="9"/>
      <c r="G141" s="196">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13"/>
      <c r="BL141" s="213"/>
    </row>
    <row r="142" spans="1:64" hidden="1" outlineLevel="1">
      <c r="A142" s="9"/>
      <c r="B142" s="9"/>
      <c r="C142" s="46"/>
      <c r="D142" s="130" t="str">
        <f>Asset8</f>
        <v>VBRC</v>
      </c>
      <c r="E142" s="9"/>
      <c r="F142" s="9"/>
      <c r="G142" s="196">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13"/>
      <c r="BL142" s="213"/>
    </row>
    <row r="143" spans="1:64" hidden="1" outlineLevel="1">
      <c r="A143" s="9"/>
      <c r="B143" s="9"/>
      <c r="C143" s="46"/>
      <c r="D143" s="130" t="str">
        <f>Asset9</f>
        <v>Equity raising</v>
      </c>
      <c r="E143" s="9"/>
      <c r="F143" s="9"/>
      <c r="G143" s="196">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13"/>
      <c r="BL143" s="213"/>
    </row>
    <row r="144" spans="1:64" hidden="1" outlineLevel="1">
      <c r="A144" s="9"/>
      <c r="B144" s="9"/>
      <c r="C144" s="46"/>
      <c r="D144" s="130">
        <f>Asset10</f>
        <v>0</v>
      </c>
      <c r="E144" s="9"/>
      <c r="F144" s="9"/>
      <c r="G144" s="196">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13"/>
      <c r="BL144" s="213"/>
    </row>
    <row r="145" spans="1:64" hidden="1" outlineLevel="1">
      <c r="A145" s="9"/>
      <c r="B145" s="9"/>
      <c r="C145" s="46"/>
      <c r="D145" s="130">
        <f>Asset11</f>
        <v>0</v>
      </c>
      <c r="E145" s="9"/>
      <c r="F145" s="9"/>
      <c r="G145" s="196">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13"/>
      <c r="BL145" s="213"/>
    </row>
    <row r="146" spans="1:64" hidden="1" outlineLevel="1">
      <c r="A146" s="9"/>
      <c r="B146" s="9"/>
      <c r="C146" s="46"/>
      <c r="D146" s="130">
        <f>Asset12</f>
        <v>0</v>
      </c>
      <c r="E146" s="9"/>
      <c r="F146" s="9"/>
      <c r="G146" s="196">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13"/>
      <c r="BL146" s="213"/>
    </row>
    <row r="147" spans="1:64" hidden="1" outlineLevel="1">
      <c r="A147" s="9"/>
      <c r="B147" s="9"/>
      <c r="C147" s="46"/>
      <c r="D147" s="130">
        <f>Asset13</f>
        <v>0</v>
      </c>
      <c r="E147" s="9"/>
      <c r="F147" s="9"/>
      <c r="G147" s="196">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13"/>
      <c r="BL147" s="213"/>
    </row>
    <row r="148" spans="1:64" hidden="1" outlineLevel="1">
      <c r="A148" s="9"/>
      <c r="B148" s="9"/>
      <c r="C148" s="46"/>
      <c r="D148" s="130">
        <f>Asset14</f>
        <v>0</v>
      </c>
      <c r="E148" s="9"/>
      <c r="F148" s="9"/>
      <c r="G148" s="196">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13"/>
      <c r="BL148" s="213"/>
    </row>
    <row r="149" spans="1:64" hidden="1" outlineLevel="1">
      <c r="A149" s="9"/>
      <c r="B149" s="9"/>
      <c r="C149" s="46"/>
      <c r="D149" s="130">
        <f>Asset15</f>
        <v>0</v>
      </c>
      <c r="E149" s="9"/>
      <c r="F149" s="9"/>
      <c r="G149" s="196">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13"/>
      <c r="BL149" s="213"/>
    </row>
    <row r="150" spans="1:64" hidden="1" outlineLevel="1">
      <c r="A150" s="9"/>
      <c r="B150" s="9"/>
      <c r="C150" s="46"/>
      <c r="D150" s="130">
        <f>Asset16</f>
        <v>0</v>
      </c>
      <c r="E150" s="9"/>
      <c r="F150" s="9"/>
      <c r="G150" s="196">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13"/>
      <c r="BL150" s="213"/>
    </row>
    <row r="151" spans="1:64" hidden="1" outlineLevel="1">
      <c r="A151" s="9"/>
      <c r="B151" s="9"/>
      <c r="C151" s="46"/>
      <c r="D151" s="130">
        <f>Asset17</f>
        <v>0</v>
      </c>
      <c r="E151" s="9"/>
      <c r="F151" s="9"/>
      <c r="G151" s="196">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13"/>
      <c r="BL151" s="213"/>
    </row>
    <row r="152" spans="1:64" hidden="1" outlineLevel="1">
      <c r="A152" s="9"/>
      <c r="B152" s="9"/>
      <c r="C152" s="46"/>
      <c r="D152" s="130">
        <f>Asset18</f>
        <v>0</v>
      </c>
      <c r="E152" s="9"/>
      <c r="F152" s="9"/>
      <c r="G152" s="196">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13"/>
      <c r="BL152" s="213"/>
    </row>
    <row r="153" spans="1:64" hidden="1" outlineLevel="1">
      <c r="A153" s="9"/>
      <c r="B153" s="9"/>
      <c r="C153" s="46"/>
      <c r="D153" s="130">
        <f>Asset19</f>
        <v>0</v>
      </c>
      <c r="E153" s="9"/>
      <c r="F153" s="9"/>
      <c r="G153" s="196">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13"/>
      <c r="BL153" s="213"/>
    </row>
    <row r="154" spans="1:64" hidden="1" outlineLevel="1">
      <c r="A154" s="9"/>
      <c r="B154" s="9"/>
      <c r="C154" s="46"/>
      <c r="D154" s="130">
        <f>Asset20</f>
        <v>0</v>
      </c>
      <c r="E154" s="9"/>
      <c r="F154" s="9"/>
      <c r="G154" s="196">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13"/>
      <c r="BL154" s="213"/>
    </row>
    <row r="155" spans="1:64" hidden="1" outlineLevel="1">
      <c r="A155" s="9"/>
      <c r="B155" s="9"/>
      <c r="C155" s="46"/>
      <c r="D155" s="130">
        <f>Asset21</f>
        <v>0</v>
      </c>
      <c r="E155" s="9"/>
      <c r="F155" s="9"/>
      <c r="G155" s="196">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13"/>
      <c r="BL155" s="213"/>
    </row>
    <row r="156" spans="1:64" hidden="1" outlineLevel="1">
      <c r="A156" s="9"/>
      <c r="B156" s="9"/>
      <c r="C156" s="46"/>
      <c r="D156" s="130">
        <f>Asset22</f>
        <v>0</v>
      </c>
      <c r="E156" s="9"/>
      <c r="F156" s="9"/>
      <c r="G156" s="196">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13"/>
      <c r="BL156" s="213"/>
    </row>
    <row r="157" spans="1:64" hidden="1" outlineLevel="1">
      <c r="A157" s="9"/>
      <c r="B157" s="9"/>
      <c r="C157" s="46"/>
      <c r="D157" s="130">
        <f>Asset23</f>
        <v>0</v>
      </c>
      <c r="E157" s="9"/>
      <c r="F157" s="9"/>
      <c r="G157" s="196">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13"/>
      <c r="BL157" s="213"/>
    </row>
    <row r="158" spans="1:64" hidden="1" outlineLevel="1">
      <c r="A158" s="9"/>
      <c r="B158" s="9"/>
      <c r="C158" s="46"/>
      <c r="D158" s="130">
        <f>Asset24</f>
        <v>0</v>
      </c>
      <c r="E158" s="9"/>
      <c r="F158" s="9"/>
      <c r="G158" s="196">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13"/>
      <c r="BL158" s="213"/>
    </row>
    <row r="159" spans="1:64" hidden="1" outlineLevel="1">
      <c r="A159" s="9"/>
      <c r="B159" s="9"/>
      <c r="C159" s="46"/>
      <c r="D159" s="130">
        <f>Asset25</f>
        <v>0</v>
      </c>
      <c r="E159" s="9"/>
      <c r="F159" s="9"/>
      <c r="G159" s="196">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13"/>
      <c r="BL159" s="213"/>
    </row>
    <row r="160" spans="1:64" hidden="1" outlineLevel="1">
      <c r="A160" s="9"/>
      <c r="B160" s="9"/>
      <c r="C160" s="46"/>
      <c r="D160" s="130">
        <f>Asset26</f>
        <v>0</v>
      </c>
      <c r="E160" s="9"/>
      <c r="F160" s="9"/>
      <c r="G160" s="196">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13"/>
      <c r="BL160" s="213"/>
    </row>
    <row r="161" spans="1:64" hidden="1" outlineLevel="1">
      <c r="A161" s="9"/>
      <c r="B161" s="9"/>
      <c r="C161" s="46"/>
      <c r="D161" s="130">
        <f>Asset27</f>
        <v>0</v>
      </c>
      <c r="E161" s="9"/>
      <c r="F161" s="9"/>
      <c r="G161" s="196">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13"/>
      <c r="BL161" s="213"/>
    </row>
    <row r="162" spans="1:64" hidden="1" outlineLevel="1">
      <c r="A162" s="9"/>
      <c r="B162" s="9"/>
      <c r="C162" s="46"/>
      <c r="D162" s="130">
        <f>Asset28</f>
        <v>0</v>
      </c>
      <c r="E162" s="9"/>
      <c r="F162" s="9"/>
      <c r="G162" s="196">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13"/>
      <c r="BL162" s="213"/>
    </row>
    <row r="163" spans="1:64" hidden="1" outlineLevel="1">
      <c r="A163" s="9"/>
      <c r="B163" s="9"/>
      <c r="C163" s="46"/>
      <c r="D163" s="130">
        <f>Asset29</f>
        <v>0</v>
      </c>
      <c r="E163" s="9"/>
      <c r="F163" s="9"/>
      <c r="G163" s="196">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13"/>
      <c r="BL163" s="213"/>
    </row>
    <row r="164" spans="1:64" hidden="1" outlineLevel="1">
      <c r="A164" s="9"/>
      <c r="B164" s="9"/>
      <c r="C164" s="46"/>
      <c r="D164" s="130">
        <f>Asset30</f>
        <v>0</v>
      </c>
      <c r="E164" s="9"/>
      <c r="F164" s="9"/>
      <c r="G164" s="196">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13"/>
      <c r="BL164" s="213"/>
    </row>
    <row r="165" spans="1:64" collapsed="1">
      <c r="A165" s="9"/>
      <c r="B165" s="9"/>
      <c r="C165" s="46"/>
      <c r="D165" s="114"/>
      <c r="E165" s="9"/>
      <c r="F165" s="9"/>
      <c r="G165" s="203"/>
      <c r="H165" s="37"/>
      <c r="I165" s="37"/>
      <c r="J165" s="37"/>
      <c r="K165" s="37"/>
      <c r="L165" s="37"/>
      <c r="M165" s="37"/>
      <c r="N165" s="101"/>
      <c r="O165" s="29"/>
      <c r="P165" s="29"/>
      <c r="Q165" s="29"/>
      <c r="R165" s="29"/>
      <c r="S165" s="101"/>
      <c r="T165" s="101"/>
      <c r="U165" s="101"/>
      <c r="V165" s="101"/>
      <c r="W165" s="101"/>
      <c r="X165" s="101"/>
      <c r="Y165" s="101"/>
      <c r="Z165" s="101"/>
      <c r="AA165" s="101"/>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13"/>
      <c r="BL165" s="213"/>
    </row>
    <row r="166" spans="1:64">
      <c r="A166" s="9"/>
      <c r="B166" s="9"/>
      <c r="C166" s="46" t="s">
        <v>62</v>
      </c>
      <c r="D166" s="130"/>
      <c r="E166" s="9"/>
      <c r="F166" s="9"/>
      <c r="G166" s="199">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13"/>
      <c r="BL166" s="213"/>
    </row>
    <row r="167" spans="1:64" hidden="1" outlineLevel="1">
      <c r="A167" s="9"/>
      <c r="B167" s="9"/>
      <c r="C167" s="46"/>
      <c r="D167" s="130" t="str">
        <f>Asset1</f>
        <v>Subtransmission</v>
      </c>
      <c r="E167" s="9"/>
      <c r="F167" s="9"/>
      <c r="G167" s="196">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13"/>
      <c r="BL167" s="213"/>
    </row>
    <row r="168" spans="1:64" hidden="1" outlineLevel="1">
      <c r="A168" s="9"/>
      <c r="B168" s="9"/>
      <c r="C168" s="46"/>
      <c r="D168" s="130" t="str">
        <f>Asset2</f>
        <v>Distribution system assets</v>
      </c>
      <c r="E168" s="9"/>
      <c r="F168" s="9"/>
      <c r="G168" s="196">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13"/>
      <c r="BL168" s="213"/>
    </row>
    <row r="169" spans="1:64" hidden="1" outlineLevel="1">
      <c r="A169" s="9"/>
      <c r="B169" s="9"/>
      <c r="C169" s="46"/>
      <c r="D169" s="130" t="str">
        <f>Asset3</f>
        <v>Standard metering</v>
      </c>
      <c r="E169" s="9"/>
      <c r="F169" s="9"/>
      <c r="G169" s="196">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13"/>
      <c r="BL169" s="213"/>
    </row>
    <row r="170" spans="1:64" hidden="1" outlineLevel="1">
      <c r="A170" s="9"/>
      <c r="B170" s="9"/>
      <c r="C170" s="46"/>
      <c r="D170" s="130" t="str">
        <f>Asset4</f>
        <v>Public lighting</v>
      </c>
      <c r="E170" s="9"/>
      <c r="F170" s="9"/>
      <c r="G170" s="196">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13"/>
      <c r="BL170" s="213"/>
    </row>
    <row r="171" spans="1:64" hidden="1" outlineLevel="1">
      <c r="A171" s="9"/>
      <c r="B171" s="9"/>
      <c r="C171" s="46"/>
      <c r="D171" s="130" t="str">
        <f>Asset5</f>
        <v>SCADA/Network control</v>
      </c>
      <c r="E171" s="9"/>
      <c r="F171" s="9"/>
      <c r="G171" s="196">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13"/>
      <c r="BL171" s="213"/>
    </row>
    <row r="172" spans="1:64" hidden="1" outlineLevel="1">
      <c r="A172" s="9"/>
      <c r="B172" s="9"/>
      <c r="C172" s="46"/>
      <c r="D172" s="130" t="str">
        <f>Asset6</f>
        <v>Non-network general assets - IT</v>
      </c>
      <c r="E172" s="9"/>
      <c r="F172" s="9"/>
      <c r="G172" s="196">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13"/>
      <c r="BL172" s="213"/>
    </row>
    <row r="173" spans="1:64" hidden="1" outlineLevel="1">
      <c r="A173" s="9"/>
      <c r="B173" s="9"/>
      <c r="C173" s="46"/>
      <c r="D173" s="130" t="str">
        <f>Asset7</f>
        <v>Non-network general assets - Other</v>
      </c>
      <c r="E173" s="9"/>
      <c r="F173" s="9"/>
      <c r="G173" s="196">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13"/>
      <c r="BL173" s="213"/>
    </row>
    <row r="174" spans="1:64" hidden="1" outlineLevel="1">
      <c r="A174" s="9"/>
      <c r="B174" s="9"/>
      <c r="C174" s="46"/>
      <c r="D174" s="130" t="str">
        <f>Asset8</f>
        <v>VBRC</v>
      </c>
      <c r="E174" s="9"/>
      <c r="F174" s="9"/>
      <c r="G174" s="196">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13"/>
      <c r="BL174" s="213"/>
    </row>
    <row r="175" spans="1:64" hidden="1" outlineLevel="1">
      <c r="A175" s="9"/>
      <c r="B175" s="9"/>
      <c r="C175" s="46"/>
      <c r="D175" s="130" t="str">
        <f>Asset9</f>
        <v>Equity raising</v>
      </c>
      <c r="E175" s="9"/>
      <c r="F175" s="9"/>
      <c r="G175" s="196">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13"/>
      <c r="BL175" s="213"/>
    </row>
    <row r="176" spans="1:64" hidden="1" outlineLevel="1">
      <c r="A176" s="9"/>
      <c r="B176" s="9"/>
      <c r="C176" s="46"/>
      <c r="D176" s="130">
        <f>Asset10</f>
        <v>0</v>
      </c>
      <c r="E176" s="9"/>
      <c r="F176" s="9"/>
      <c r="G176" s="196">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13"/>
      <c r="BL176" s="213"/>
    </row>
    <row r="177" spans="1:64" hidden="1" outlineLevel="1">
      <c r="A177" s="9"/>
      <c r="B177" s="9"/>
      <c r="C177" s="46"/>
      <c r="D177" s="130">
        <f>Asset11</f>
        <v>0</v>
      </c>
      <c r="E177" s="9"/>
      <c r="F177" s="9"/>
      <c r="G177" s="196">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13"/>
      <c r="BL177" s="213"/>
    </row>
    <row r="178" spans="1:64" hidden="1" outlineLevel="1">
      <c r="A178" s="9"/>
      <c r="B178" s="9"/>
      <c r="C178" s="46"/>
      <c r="D178" s="130">
        <f>Asset12</f>
        <v>0</v>
      </c>
      <c r="E178" s="9"/>
      <c r="F178" s="9"/>
      <c r="G178" s="196">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13"/>
      <c r="BL178" s="213"/>
    </row>
    <row r="179" spans="1:64" hidden="1" outlineLevel="1">
      <c r="A179" s="9"/>
      <c r="B179" s="9"/>
      <c r="C179" s="46"/>
      <c r="D179" s="130">
        <f>Asset13</f>
        <v>0</v>
      </c>
      <c r="E179" s="9"/>
      <c r="F179" s="9"/>
      <c r="G179" s="196">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13"/>
      <c r="BL179" s="213"/>
    </row>
    <row r="180" spans="1:64" hidden="1" outlineLevel="1">
      <c r="A180" s="9"/>
      <c r="B180" s="9"/>
      <c r="C180" s="46"/>
      <c r="D180" s="130">
        <f>Asset14</f>
        <v>0</v>
      </c>
      <c r="E180" s="9"/>
      <c r="F180" s="9"/>
      <c r="G180" s="196">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13"/>
      <c r="BL180" s="213"/>
    </row>
    <row r="181" spans="1:64" hidden="1" outlineLevel="1">
      <c r="A181" s="9"/>
      <c r="B181" s="9"/>
      <c r="C181" s="46"/>
      <c r="D181" s="130">
        <f>Asset15</f>
        <v>0</v>
      </c>
      <c r="E181" s="9"/>
      <c r="F181" s="9"/>
      <c r="G181" s="196">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13"/>
      <c r="BL181" s="213"/>
    </row>
    <row r="182" spans="1:64" hidden="1" outlineLevel="1">
      <c r="A182" s="9"/>
      <c r="B182" s="9"/>
      <c r="C182" s="46"/>
      <c r="D182" s="130">
        <f>Asset16</f>
        <v>0</v>
      </c>
      <c r="E182" s="9"/>
      <c r="F182" s="9"/>
      <c r="G182" s="196">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13"/>
      <c r="BL182" s="213"/>
    </row>
    <row r="183" spans="1:64" hidden="1" outlineLevel="1">
      <c r="A183" s="9"/>
      <c r="B183" s="9"/>
      <c r="C183" s="46"/>
      <c r="D183" s="130">
        <f>Asset17</f>
        <v>0</v>
      </c>
      <c r="E183" s="9"/>
      <c r="F183" s="9"/>
      <c r="G183" s="196">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13"/>
      <c r="BL183" s="213"/>
    </row>
    <row r="184" spans="1:64" hidden="1" outlineLevel="1">
      <c r="A184" s="9"/>
      <c r="B184" s="9"/>
      <c r="C184" s="46"/>
      <c r="D184" s="130">
        <f>Asset18</f>
        <v>0</v>
      </c>
      <c r="E184" s="9"/>
      <c r="F184" s="9"/>
      <c r="G184" s="196">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13"/>
      <c r="BL184" s="213"/>
    </row>
    <row r="185" spans="1:64" hidden="1" outlineLevel="1">
      <c r="A185" s="9"/>
      <c r="B185" s="9"/>
      <c r="C185" s="46"/>
      <c r="D185" s="130">
        <f>Asset19</f>
        <v>0</v>
      </c>
      <c r="E185" s="9"/>
      <c r="F185" s="9"/>
      <c r="G185" s="196">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13"/>
      <c r="BL185" s="213"/>
    </row>
    <row r="186" spans="1:64" ht="12" hidden="1" customHeight="1" outlineLevel="1">
      <c r="A186" s="9"/>
      <c r="B186" s="9"/>
      <c r="C186" s="46"/>
      <c r="D186" s="130">
        <f>Asset20</f>
        <v>0</v>
      </c>
      <c r="E186" s="9"/>
      <c r="F186" s="9"/>
      <c r="G186" s="196">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13"/>
      <c r="BL186" s="213"/>
    </row>
    <row r="187" spans="1:64" ht="12" hidden="1" customHeight="1" outlineLevel="1">
      <c r="A187" s="9"/>
      <c r="B187" s="9"/>
      <c r="C187" s="46"/>
      <c r="D187" s="130">
        <f>Asset21</f>
        <v>0</v>
      </c>
      <c r="E187" s="9"/>
      <c r="F187" s="9"/>
      <c r="G187" s="196">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13"/>
      <c r="BL187" s="213"/>
    </row>
    <row r="188" spans="1:64" ht="12" hidden="1" customHeight="1" outlineLevel="1">
      <c r="A188" s="9"/>
      <c r="B188" s="9"/>
      <c r="C188" s="46"/>
      <c r="D188" s="130">
        <f>Asset22</f>
        <v>0</v>
      </c>
      <c r="E188" s="9"/>
      <c r="F188" s="9"/>
      <c r="G188" s="196">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13"/>
      <c r="BL188" s="213"/>
    </row>
    <row r="189" spans="1:64" ht="12" hidden="1" customHeight="1" outlineLevel="1">
      <c r="A189" s="9"/>
      <c r="B189" s="9"/>
      <c r="C189" s="46"/>
      <c r="D189" s="130">
        <f>Asset23</f>
        <v>0</v>
      </c>
      <c r="E189" s="9"/>
      <c r="F189" s="9"/>
      <c r="G189" s="196">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13"/>
      <c r="BL189" s="213"/>
    </row>
    <row r="190" spans="1:64" ht="12" hidden="1" customHeight="1" outlineLevel="1">
      <c r="A190" s="9"/>
      <c r="B190" s="9"/>
      <c r="C190" s="46"/>
      <c r="D190" s="130">
        <f>Asset24</f>
        <v>0</v>
      </c>
      <c r="E190" s="9"/>
      <c r="F190" s="9"/>
      <c r="G190" s="196">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13"/>
      <c r="BL190" s="213"/>
    </row>
    <row r="191" spans="1:64" ht="12" hidden="1" customHeight="1" outlineLevel="1">
      <c r="A191" s="9"/>
      <c r="B191" s="9"/>
      <c r="C191" s="46"/>
      <c r="D191" s="130">
        <f>Asset25</f>
        <v>0</v>
      </c>
      <c r="E191" s="9"/>
      <c r="F191" s="9"/>
      <c r="G191" s="196">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13"/>
      <c r="BL191" s="213"/>
    </row>
    <row r="192" spans="1:64" ht="12" hidden="1" customHeight="1" outlineLevel="1">
      <c r="A192" s="9"/>
      <c r="B192" s="9"/>
      <c r="C192" s="46"/>
      <c r="D192" s="130">
        <f>Asset26</f>
        <v>0</v>
      </c>
      <c r="E192" s="9"/>
      <c r="F192" s="9"/>
      <c r="G192" s="196">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13"/>
      <c r="BL192" s="213"/>
    </row>
    <row r="193" spans="1:64" ht="12" hidden="1" customHeight="1" outlineLevel="1">
      <c r="A193" s="9"/>
      <c r="B193" s="9"/>
      <c r="C193" s="46"/>
      <c r="D193" s="130">
        <f>Asset27</f>
        <v>0</v>
      </c>
      <c r="E193" s="9"/>
      <c r="F193" s="9"/>
      <c r="G193" s="196">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13"/>
      <c r="BL193" s="213"/>
    </row>
    <row r="194" spans="1:64" ht="12" hidden="1" customHeight="1" outlineLevel="1">
      <c r="A194" s="9"/>
      <c r="B194" s="9"/>
      <c r="C194" s="46"/>
      <c r="D194" s="130">
        <f>Asset28</f>
        <v>0</v>
      </c>
      <c r="E194" s="9"/>
      <c r="F194" s="9"/>
      <c r="G194" s="196">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13"/>
      <c r="BL194" s="213"/>
    </row>
    <row r="195" spans="1:64" ht="12" hidden="1" customHeight="1" outlineLevel="1">
      <c r="A195" s="9"/>
      <c r="B195" s="9"/>
      <c r="C195" s="46"/>
      <c r="D195" s="130">
        <f>Asset29</f>
        <v>0</v>
      </c>
      <c r="E195" s="9"/>
      <c r="F195" s="9"/>
      <c r="G195" s="196">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13"/>
      <c r="BL195" s="213"/>
    </row>
    <row r="196" spans="1:64" ht="12" hidden="1" customHeight="1" outlineLevel="1">
      <c r="A196" s="9"/>
      <c r="B196" s="9"/>
      <c r="C196" s="46"/>
      <c r="D196" s="130">
        <f>Asset30</f>
        <v>0</v>
      </c>
      <c r="E196" s="9"/>
      <c r="F196" s="9"/>
      <c r="G196" s="196">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13"/>
      <c r="BL196" s="213"/>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13"/>
      <c r="BL197" s="213"/>
    </row>
    <row r="198" spans="1:64">
      <c r="A198" s="74"/>
      <c r="B198" s="74"/>
      <c r="C198" s="81" t="s">
        <v>49</v>
      </c>
      <c r="D198" s="159"/>
      <c r="E198" s="81"/>
      <c r="F198" s="81"/>
      <c r="G198" s="217">
        <f>SUM(G199:G228)</f>
        <v>1287.2501906639984</v>
      </c>
      <c r="H198" s="158">
        <f>SUM(H199:H228)</f>
        <v>1395.7371267761814</v>
      </c>
      <c r="I198" s="158">
        <f t="shared" ref="I198:Q198" si="8">SUM(I199:I228)</f>
        <v>1488.8151620955082</v>
      </c>
      <c r="J198" s="158">
        <f t="shared" si="8"/>
        <v>1580.9485009278967</v>
      </c>
      <c r="K198" s="158">
        <f t="shared" si="8"/>
        <v>1686.3726360850453</v>
      </c>
      <c r="L198" s="288">
        <f t="shared" si="8"/>
        <v>1820.5056098179405</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13"/>
      <c r="BL198" s="213"/>
    </row>
    <row r="199" spans="1:64" ht="12.75" hidden="1" customHeight="1" outlineLevel="1">
      <c r="A199" s="9"/>
      <c r="B199" s="12"/>
      <c r="C199" s="46"/>
      <c r="D199" s="130" t="str">
        <f>Asset1</f>
        <v>Subtransmission</v>
      </c>
      <c r="E199" s="12"/>
      <c r="F199" s="12"/>
      <c r="G199" s="193">
        <f t="shared" ref="G199:G218" si="9">G7+G39+G71+G103+G135+G167</f>
        <v>151.75163070203752</v>
      </c>
      <c r="H199" s="157">
        <f t="shared" ref="H199:L208" si="10">H7+H39+H71</f>
        <v>235.52367522683883</v>
      </c>
      <c r="I199" s="157">
        <f t="shared" si="10"/>
        <v>264.96445784838465</v>
      </c>
      <c r="J199" s="157">
        <f t="shared" si="10"/>
        <v>321.66866567803237</v>
      </c>
      <c r="K199" s="157">
        <f t="shared" si="10"/>
        <v>346.59583261401747</v>
      </c>
      <c r="L199" s="157">
        <f t="shared" si="10"/>
        <v>387.24760364031687</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20"/>
      <c r="BK199" s="213"/>
      <c r="BL199" s="213"/>
    </row>
    <row r="200" spans="1:64" ht="12.75" hidden="1" customHeight="1" outlineLevel="1">
      <c r="A200" s="9"/>
      <c r="B200" s="12"/>
      <c r="C200" s="46"/>
      <c r="D200" s="130" t="str">
        <f>Asset2</f>
        <v>Distribution system assets</v>
      </c>
      <c r="E200" s="12"/>
      <c r="F200" s="12"/>
      <c r="G200" s="193">
        <f t="shared" si="9"/>
        <v>1063.1849024792018</v>
      </c>
      <c r="H200" s="157">
        <f t="shared" si="10"/>
        <v>1087.9498128657533</v>
      </c>
      <c r="I200" s="157">
        <f t="shared" si="10"/>
        <v>1150.979480000062</v>
      </c>
      <c r="J200" s="157">
        <f t="shared" si="10"/>
        <v>1187.6764266357427</v>
      </c>
      <c r="K200" s="157">
        <f t="shared" si="10"/>
        <v>1264.7971674740124</v>
      </c>
      <c r="L200" s="157">
        <f t="shared" si="10"/>
        <v>1353.08066687225</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13"/>
      <c r="BL200" s="213"/>
    </row>
    <row r="201" spans="1:64" ht="12.75" hidden="1" customHeight="1" outlineLevel="1">
      <c r="A201" s="9"/>
      <c r="B201" s="12"/>
      <c r="C201" s="46"/>
      <c r="D201" s="130" t="str">
        <f>Asset3</f>
        <v>Standard metering</v>
      </c>
      <c r="E201" s="12"/>
      <c r="F201" s="12"/>
      <c r="G201" s="193">
        <f t="shared" si="9"/>
        <v>34.490079086087626</v>
      </c>
      <c r="H201" s="157">
        <f t="shared" si="10"/>
        <v>29.602380032449279</v>
      </c>
      <c r="I201" s="157">
        <f t="shared" si="10"/>
        <v>24.589304962606761</v>
      </c>
      <c r="J201" s="157">
        <f t="shared" si="10"/>
        <v>18.905681370924356</v>
      </c>
      <c r="K201" s="157">
        <f t="shared" si="10"/>
        <v>13.004378764413488</v>
      </c>
      <c r="L201" s="157">
        <f t="shared" si="10"/>
        <v>6.8489940277447703</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13"/>
      <c r="BL201" s="213"/>
    </row>
    <row r="202" spans="1:64" ht="12.75" hidden="1" customHeight="1" outlineLevel="1">
      <c r="A202" s="9"/>
      <c r="B202" s="12"/>
      <c r="C202" s="46"/>
      <c r="D202" s="130" t="str">
        <f>Asset4</f>
        <v>Public lighting</v>
      </c>
      <c r="E202" s="12"/>
      <c r="F202" s="12"/>
      <c r="G202" s="193">
        <f t="shared" si="9"/>
        <v>10.143760311615715</v>
      </c>
      <c r="H202" s="157">
        <f t="shared" si="10"/>
        <v>9.6405286571462039</v>
      </c>
      <c r="I202" s="157">
        <f t="shared" si="10"/>
        <v>9.1661941782156742</v>
      </c>
      <c r="J202" s="157">
        <f t="shared" si="10"/>
        <v>8.5199072014595796</v>
      </c>
      <c r="K202" s="157">
        <f t="shared" si="10"/>
        <v>7.8561160284393488</v>
      </c>
      <c r="L202" s="157">
        <f t="shared" si="10"/>
        <v>7.1699288423994672</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13"/>
      <c r="BL202" s="213"/>
    </row>
    <row r="203" spans="1:64" ht="12.75" hidden="1" customHeight="1" outlineLevel="1">
      <c r="A203" s="9"/>
      <c r="B203" s="12"/>
      <c r="C203" s="46"/>
      <c r="D203" s="130" t="str">
        <f>Asset5</f>
        <v>SCADA/Network control</v>
      </c>
      <c r="E203" s="12"/>
      <c r="F203" s="12"/>
      <c r="G203" s="193">
        <f t="shared" si="9"/>
        <v>15.630895940945866</v>
      </c>
      <c r="H203" s="157">
        <f t="shared" si="10"/>
        <v>14.913589134453598</v>
      </c>
      <c r="I203" s="157">
        <f t="shared" si="10"/>
        <v>16.727807088803853</v>
      </c>
      <c r="J203" s="157">
        <f t="shared" si="10"/>
        <v>17.26640785792085</v>
      </c>
      <c r="K203" s="157">
        <f t="shared" si="10"/>
        <v>17.548055942156129</v>
      </c>
      <c r="L203" s="157">
        <f t="shared" si="10"/>
        <v>17.065445843729712</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13"/>
      <c r="BL203" s="213"/>
    </row>
    <row r="204" spans="1:64" ht="12.75" hidden="1" customHeight="1" outlineLevel="1">
      <c r="A204" s="9"/>
      <c r="B204" s="12"/>
      <c r="C204" s="46"/>
      <c r="D204" s="130" t="str">
        <f>Asset6</f>
        <v>Non-network general assets - IT</v>
      </c>
      <c r="E204" s="12"/>
      <c r="F204" s="12"/>
      <c r="G204" s="193">
        <f t="shared" si="9"/>
        <v>7.4416607105815658E-2</v>
      </c>
      <c r="H204" s="157">
        <f t="shared" si="10"/>
        <v>3.7716842033704236</v>
      </c>
      <c r="I204" s="157">
        <f t="shared" si="10"/>
        <v>9.4210742047462563</v>
      </c>
      <c r="J204" s="157">
        <f t="shared" si="10"/>
        <v>13.216559082493671</v>
      </c>
      <c r="K204" s="157">
        <f t="shared" si="10"/>
        <v>19.933969057835689</v>
      </c>
      <c r="L204" s="157">
        <f t="shared" si="10"/>
        <v>32.318826475148384</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13"/>
      <c r="BL204" s="213"/>
    </row>
    <row r="205" spans="1:64" ht="12.75" hidden="1" customHeight="1" outlineLevel="1">
      <c r="A205" s="9"/>
      <c r="B205" s="12"/>
      <c r="C205" s="46"/>
      <c r="D205" s="130" t="str">
        <f>Asset7</f>
        <v>Non-network general assets - Other</v>
      </c>
      <c r="E205" s="12"/>
      <c r="F205" s="12"/>
      <c r="G205" s="193">
        <f t="shared" si="9"/>
        <v>11.97450553700369</v>
      </c>
      <c r="H205" s="157">
        <f t="shared" si="10"/>
        <v>11.407609901627296</v>
      </c>
      <c r="I205" s="157">
        <f t="shared" si="10"/>
        <v>10.000957466943463</v>
      </c>
      <c r="J205" s="157">
        <f t="shared" si="10"/>
        <v>10.735851031028901</v>
      </c>
      <c r="K205" s="157">
        <f t="shared" si="10"/>
        <v>13.68192127045991</v>
      </c>
      <c r="L205" s="157">
        <f t="shared" si="10"/>
        <v>13.820070069604142</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13"/>
      <c r="BL205" s="213"/>
    </row>
    <row r="206" spans="1:64" ht="12.75" hidden="1" customHeight="1" outlineLevel="1">
      <c r="A206" s="9"/>
      <c r="B206" s="12"/>
      <c r="C206" s="46"/>
      <c r="D206" s="130" t="str">
        <f>Asset8</f>
        <v>VBRC</v>
      </c>
      <c r="E206" s="12"/>
      <c r="F206" s="12"/>
      <c r="G206" s="193">
        <f t="shared" si="9"/>
        <v>0</v>
      </c>
      <c r="H206" s="157">
        <f t="shared" si="10"/>
        <v>0</v>
      </c>
      <c r="I206" s="157">
        <f t="shared" si="10"/>
        <v>0</v>
      </c>
      <c r="J206" s="157">
        <f t="shared" si="10"/>
        <v>0</v>
      </c>
      <c r="K206" s="157">
        <f t="shared" si="10"/>
        <v>0</v>
      </c>
      <c r="L206" s="157">
        <f t="shared" si="10"/>
        <v>0</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13"/>
      <c r="BL206" s="213"/>
    </row>
    <row r="207" spans="1:64" ht="12.75" hidden="1" customHeight="1" outlineLevel="1">
      <c r="A207" s="9"/>
      <c r="B207" s="12"/>
      <c r="C207" s="46"/>
      <c r="D207" s="130" t="str">
        <f>Asset9</f>
        <v>Equity raising</v>
      </c>
      <c r="E207" s="12"/>
      <c r="F207" s="12"/>
      <c r="G207" s="193">
        <f t="shared" si="9"/>
        <v>0</v>
      </c>
      <c r="H207" s="157">
        <f t="shared" si="10"/>
        <v>2.9278467545427507</v>
      </c>
      <c r="I207" s="157">
        <f t="shared" si="10"/>
        <v>2.9658863457454236</v>
      </c>
      <c r="J207" s="157">
        <f t="shared" si="10"/>
        <v>2.9590020702944351</v>
      </c>
      <c r="K207" s="157">
        <f t="shared" si="10"/>
        <v>2.955194933710648</v>
      </c>
      <c r="L207" s="157">
        <f t="shared" si="10"/>
        <v>2.9540740467471118</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13"/>
      <c r="BL207" s="213"/>
    </row>
    <row r="208" spans="1:64" ht="12.75" hidden="1" customHeight="1" outlineLevel="1">
      <c r="A208" s="9"/>
      <c r="B208" s="12"/>
      <c r="C208" s="46"/>
      <c r="D208" s="130">
        <f>Asset10</f>
        <v>0</v>
      </c>
      <c r="E208" s="12"/>
      <c r="F208" s="12"/>
      <c r="G208" s="193">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0"/>
      <c r="BK208" s="213"/>
      <c r="BL208" s="213"/>
    </row>
    <row r="209" spans="1:64" ht="12.75" hidden="1" customHeight="1" outlineLevel="1">
      <c r="A209" s="9"/>
      <c r="B209" s="12"/>
      <c r="C209" s="46"/>
      <c r="D209" s="130">
        <f>Asset11</f>
        <v>0</v>
      </c>
      <c r="E209" s="12"/>
      <c r="F209" s="12"/>
      <c r="G209" s="193">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13"/>
      <c r="BL209" s="213"/>
    </row>
    <row r="210" spans="1:64" ht="12.75" hidden="1" customHeight="1" outlineLevel="1">
      <c r="A210" s="9"/>
      <c r="B210" s="12"/>
      <c r="C210" s="46"/>
      <c r="D210" s="130">
        <f>Asset12</f>
        <v>0</v>
      </c>
      <c r="E210" s="12"/>
      <c r="F210" s="12"/>
      <c r="G210" s="193">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13"/>
      <c r="BL210" s="213"/>
    </row>
    <row r="211" spans="1:64" ht="12.75" hidden="1" customHeight="1" outlineLevel="1">
      <c r="A211" s="9"/>
      <c r="B211" s="12"/>
      <c r="C211" s="46"/>
      <c r="D211" s="130">
        <f>Asset13</f>
        <v>0</v>
      </c>
      <c r="E211" s="12"/>
      <c r="F211" s="12"/>
      <c r="G211" s="193">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0"/>
      <c r="BK211" s="213"/>
      <c r="BL211" s="213"/>
    </row>
    <row r="212" spans="1:64" ht="12.75" hidden="1" customHeight="1" outlineLevel="1">
      <c r="A212" s="9"/>
      <c r="B212" s="12"/>
      <c r="C212" s="46"/>
      <c r="D212" s="130">
        <f>Asset14</f>
        <v>0</v>
      </c>
      <c r="E212" s="12"/>
      <c r="F212" s="12"/>
      <c r="G212" s="193">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0"/>
      <c r="BK212" s="213"/>
      <c r="BL212" s="213"/>
    </row>
    <row r="213" spans="1:64" ht="12.75" hidden="1" customHeight="1" outlineLevel="1">
      <c r="A213" s="9"/>
      <c r="B213" s="12"/>
      <c r="C213" s="46"/>
      <c r="D213" s="130">
        <f>Asset15</f>
        <v>0</v>
      </c>
      <c r="E213" s="12"/>
      <c r="F213" s="12"/>
      <c r="G213" s="193">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0"/>
      <c r="BK213" s="213"/>
      <c r="BL213" s="213"/>
    </row>
    <row r="214" spans="1:64" ht="12.75" hidden="1" customHeight="1" outlineLevel="1">
      <c r="A214" s="9"/>
      <c r="B214" s="12"/>
      <c r="C214" s="46"/>
      <c r="D214" s="130">
        <f>Asset16</f>
        <v>0</v>
      </c>
      <c r="E214" s="12"/>
      <c r="F214" s="12"/>
      <c r="G214" s="193">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13"/>
      <c r="BL214" s="213"/>
    </row>
    <row r="215" spans="1:64" ht="12.75" hidden="1" customHeight="1" outlineLevel="1">
      <c r="A215" s="9"/>
      <c r="B215" s="12"/>
      <c r="C215" s="46"/>
      <c r="D215" s="130">
        <f>Asset17</f>
        <v>0</v>
      </c>
      <c r="E215" s="12"/>
      <c r="F215" s="12"/>
      <c r="G215" s="193">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13"/>
      <c r="BL215" s="213"/>
    </row>
    <row r="216" spans="1:64" ht="12.75" hidden="1" customHeight="1" outlineLevel="1">
      <c r="A216" s="9"/>
      <c r="B216" s="12"/>
      <c r="C216" s="46"/>
      <c r="D216" s="130">
        <f>Asset18</f>
        <v>0</v>
      </c>
      <c r="E216" s="12"/>
      <c r="F216" s="12"/>
      <c r="G216" s="193">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13"/>
      <c r="BL216" s="213"/>
    </row>
    <row r="217" spans="1:64" ht="12.75" hidden="1" customHeight="1" outlineLevel="1">
      <c r="A217" s="9"/>
      <c r="B217" s="12"/>
      <c r="C217" s="46"/>
      <c r="D217" s="130">
        <f>Asset19</f>
        <v>0</v>
      </c>
      <c r="E217" s="12"/>
      <c r="F217" s="12"/>
      <c r="G217" s="193">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13"/>
      <c r="BL217" s="213"/>
    </row>
    <row r="218" spans="1:64" ht="12.75" hidden="1" customHeight="1" outlineLevel="1">
      <c r="A218" s="9"/>
      <c r="B218" s="12"/>
      <c r="C218" s="46"/>
      <c r="D218" s="130">
        <f>Asset20</f>
        <v>0</v>
      </c>
      <c r="E218" s="12"/>
      <c r="F218" s="12"/>
      <c r="G218" s="193">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20"/>
      <c r="BK218" s="213"/>
      <c r="BL218" s="213"/>
    </row>
    <row r="219" spans="1:64" ht="12.75" hidden="1" customHeight="1" outlineLevel="1">
      <c r="A219" s="9"/>
      <c r="B219" s="12"/>
      <c r="C219" s="46"/>
      <c r="D219" s="130">
        <f>Asset21</f>
        <v>0</v>
      </c>
      <c r="E219" s="12"/>
      <c r="F219" s="12"/>
      <c r="G219" s="193">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20"/>
      <c r="BK219" s="213"/>
      <c r="BL219" s="213"/>
    </row>
    <row r="220" spans="1:64" ht="12.75" hidden="1" customHeight="1" outlineLevel="1">
      <c r="A220" s="9"/>
      <c r="B220" s="12"/>
      <c r="C220" s="46"/>
      <c r="D220" s="130">
        <f>Asset22</f>
        <v>0</v>
      </c>
      <c r="E220" s="12"/>
      <c r="F220" s="12"/>
      <c r="G220" s="193">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20"/>
      <c r="BK220" s="213"/>
      <c r="BL220" s="213"/>
    </row>
    <row r="221" spans="1:64" ht="12.75" hidden="1" customHeight="1" outlineLevel="1">
      <c r="A221" s="9"/>
      <c r="B221" s="12"/>
      <c r="C221" s="46"/>
      <c r="D221" s="130">
        <f>Asset23</f>
        <v>0</v>
      </c>
      <c r="E221" s="12"/>
      <c r="F221" s="12"/>
      <c r="G221" s="193">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13"/>
      <c r="BL221" s="213"/>
    </row>
    <row r="222" spans="1:64" ht="12.75" hidden="1" customHeight="1" outlineLevel="1">
      <c r="A222" s="9"/>
      <c r="B222" s="12"/>
      <c r="C222" s="46"/>
      <c r="D222" s="130">
        <f>Asset24</f>
        <v>0</v>
      </c>
      <c r="E222" s="12"/>
      <c r="F222" s="12"/>
      <c r="G222" s="193">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13"/>
      <c r="BL222" s="213"/>
    </row>
    <row r="223" spans="1:64" ht="12.75" hidden="1" customHeight="1" outlineLevel="1">
      <c r="A223" s="9"/>
      <c r="B223" s="12"/>
      <c r="C223" s="46"/>
      <c r="D223" s="130">
        <f>Asset25</f>
        <v>0</v>
      </c>
      <c r="E223" s="12"/>
      <c r="F223" s="12"/>
      <c r="G223" s="193">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13"/>
      <c r="BL223" s="213"/>
    </row>
    <row r="224" spans="1:64" ht="12.75" hidden="1" customHeight="1" outlineLevel="1">
      <c r="A224" s="9"/>
      <c r="B224" s="12"/>
      <c r="C224" s="46"/>
      <c r="D224" s="130">
        <f>Asset26</f>
        <v>0</v>
      </c>
      <c r="E224" s="12"/>
      <c r="F224" s="12"/>
      <c r="G224" s="193">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13"/>
      <c r="BL224" s="213"/>
    </row>
    <row r="225" spans="1:64" ht="12.75" hidden="1" customHeight="1" outlineLevel="1">
      <c r="A225" s="9"/>
      <c r="B225" s="12"/>
      <c r="C225" s="46"/>
      <c r="D225" s="130">
        <f>Asset27</f>
        <v>0</v>
      </c>
      <c r="E225" s="12"/>
      <c r="F225" s="12"/>
      <c r="G225" s="193">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13"/>
      <c r="BL225" s="213"/>
    </row>
    <row r="226" spans="1:64" ht="12.75" hidden="1" customHeight="1" outlineLevel="1">
      <c r="A226" s="9"/>
      <c r="B226" s="12"/>
      <c r="C226" s="46"/>
      <c r="D226" s="130">
        <f>Asset28</f>
        <v>0</v>
      </c>
      <c r="E226" s="12"/>
      <c r="F226" s="12"/>
      <c r="G226" s="193">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13"/>
      <c r="BL226" s="213"/>
    </row>
    <row r="227" spans="1:64" ht="12.75" hidden="1" customHeight="1" outlineLevel="1">
      <c r="A227" s="9"/>
      <c r="B227" s="12"/>
      <c r="C227" s="46"/>
      <c r="D227" s="130">
        <f>Asset29</f>
        <v>0</v>
      </c>
      <c r="E227" s="12"/>
      <c r="F227" s="12"/>
      <c r="G227" s="193">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20"/>
      <c r="BK227" s="213"/>
      <c r="BL227" s="213"/>
    </row>
    <row r="228" spans="1:64" ht="12.75" hidden="1" customHeight="1" outlineLevel="1">
      <c r="A228" s="9"/>
      <c r="B228" s="12"/>
      <c r="C228" s="46"/>
      <c r="D228" s="130">
        <f>Asset30</f>
        <v>0</v>
      </c>
      <c r="E228" s="12"/>
      <c r="F228" s="12"/>
      <c r="G228" s="193">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20"/>
      <c r="BK228" s="213"/>
      <c r="BL228" s="213"/>
    </row>
    <row r="229" spans="1:64" collapsed="1">
      <c r="A229" s="9"/>
      <c r="B229" s="12"/>
      <c r="C229" s="90"/>
      <c r="D229" s="114"/>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20"/>
      <c r="BK229" s="213"/>
      <c r="BL229" s="213"/>
    </row>
    <row r="230" spans="1:64" s="9" customFormat="1">
      <c r="B230" s="12"/>
      <c r="C230" s="90" t="s">
        <v>38</v>
      </c>
      <c r="D230" s="12"/>
      <c r="E230" s="12"/>
      <c r="F230" s="12"/>
      <c r="G230" s="115"/>
      <c r="H230" s="117"/>
      <c r="I230" s="117"/>
      <c r="J230" s="117"/>
      <c r="K230" s="117"/>
      <c r="L230" s="117">
        <f t="shared" ref="L230:Q230" si="15">SUM(L231:L260)</f>
        <v>-21.37156254061378</v>
      </c>
      <c r="M230" s="117">
        <f t="shared" si="15"/>
        <v>0</v>
      </c>
      <c r="N230" s="117">
        <f t="shared" si="15"/>
        <v>0</v>
      </c>
      <c r="O230" s="117">
        <f t="shared" si="15"/>
        <v>0</v>
      </c>
      <c r="P230" s="117">
        <f t="shared" si="15"/>
        <v>0</v>
      </c>
      <c r="Q230" s="117">
        <f t="shared" si="15"/>
        <v>0</v>
      </c>
      <c r="R230" s="107"/>
      <c r="S230" s="107"/>
      <c r="T230" s="107"/>
      <c r="U230" s="107"/>
      <c r="V230" s="107"/>
      <c r="W230" s="107"/>
      <c r="X230" s="107"/>
      <c r="Y230" s="107"/>
      <c r="Z230" s="107"/>
      <c r="AA230" s="107"/>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13"/>
      <c r="BL230" s="213"/>
    </row>
    <row r="231" spans="1:64" ht="12" hidden="1" customHeight="1" outlineLevel="1">
      <c r="A231" s="9"/>
      <c r="B231" s="9"/>
      <c r="C231" s="9"/>
      <c r="D231" s="130" t="str">
        <f>Asset1</f>
        <v>Subtransmission</v>
      </c>
      <c r="E231" s="9"/>
      <c r="F231" s="9"/>
      <c r="G231" s="9"/>
      <c r="H231" s="112"/>
      <c r="I231" s="112"/>
      <c r="J231" s="112"/>
      <c r="K231" s="112"/>
      <c r="L231" s="112">
        <f>IF(L$198&gt;0, IF(M$198=0, 'Adjustment for previous period'!$G76, 0), 0)</f>
        <v>12.630616848813304</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row>
    <row r="232" spans="1:64" ht="12" hidden="1" customHeight="1" outlineLevel="1">
      <c r="A232" s="9"/>
      <c r="B232" s="9"/>
      <c r="C232" s="9"/>
      <c r="D232" s="130" t="str">
        <f>Asset2</f>
        <v>Distribution system assets</v>
      </c>
      <c r="E232" s="9"/>
      <c r="F232" s="9"/>
      <c r="G232" s="9"/>
      <c r="H232" s="112"/>
      <c r="I232" s="112"/>
      <c r="J232" s="112"/>
      <c r="K232" s="112"/>
      <c r="L232" s="112">
        <f>IF(L$198&gt;0, IF(M$198=0, 'Adjustment for previous period'!$G77, 0), 0)</f>
        <v>-30.636305333912915</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row>
    <row r="233" spans="1:64" ht="12" hidden="1" customHeight="1" outlineLevel="1">
      <c r="A233" s="9"/>
      <c r="B233" s="9"/>
      <c r="C233" s="9"/>
      <c r="D233" s="130" t="str">
        <f>Asset3</f>
        <v>Standard metering</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row>
    <row r="234" spans="1:64" ht="12" hidden="1" customHeight="1" outlineLevel="1">
      <c r="A234" s="9"/>
      <c r="B234" s="9"/>
      <c r="C234" s="9"/>
      <c r="D234" s="130" t="str">
        <f>Asset4</f>
        <v>Public lighting</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row>
    <row r="235" spans="1:64" ht="12" hidden="1" customHeight="1" outlineLevel="1">
      <c r="A235" s="9"/>
      <c r="B235" s="9"/>
      <c r="C235" s="9"/>
      <c r="D235" s="130" t="str">
        <f>Asset5</f>
        <v>SCADA/Network control</v>
      </c>
      <c r="E235" s="9"/>
      <c r="F235" s="9"/>
      <c r="G235" s="9"/>
      <c r="H235" s="112"/>
      <c r="I235" s="112"/>
      <c r="J235" s="112"/>
      <c r="K235" s="112"/>
      <c r="L235" s="112">
        <f>IF(L$198&gt;0, IF(M$198=0, 'Adjustment for previous period'!$G80, 0), 0)</f>
        <v>-1.8582966887141208</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row>
    <row r="236" spans="1:64" ht="12" hidden="1" customHeight="1" outlineLevel="1">
      <c r="A236" s="9"/>
      <c r="B236" s="9"/>
      <c r="C236" s="9"/>
      <c r="D236" s="130" t="str">
        <f>Asset6</f>
        <v>Non-network general assets - IT</v>
      </c>
      <c r="E236" s="9"/>
      <c r="F236" s="9"/>
      <c r="G236" s="9"/>
      <c r="H236" s="112"/>
      <c r="I236" s="112"/>
      <c r="J236" s="112"/>
      <c r="K236" s="112"/>
      <c r="L236" s="112">
        <f>IF(L$198&gt;0, IF(M$198=0, 'Adjustment for previous period'!$G81, 0), 0)</f>
        <v>-0.40863086109819413</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row>
    <row r="237" spans="1:64" ht="12" hidden="1" customHeight="1" outlineLevel="1">
      <c r="A237" s="9"/>
      <c r="B237" s="9"/>
      <c r="C237" s="9"/>
      <c r="D237" s="130" t="str">
        <f>Asset7</f>
        <v>Non-network general assets - Other</v>
      </c>
      <c r="E237" s="9"/>
      <c r="F237" s="9"/>
      <c r="G237" s="9"/>
      <c r="H237" s="112"/>
      <c r="I237" s="112"/>
      <c r="J237" s="112"/>
      <c r="K237" s="112"/>
      <c r="L237" s="112">
        <f>IF(L$198&gt;0, IF(M$198=0, 'Adjustment for previous period'!$G82, 0), 0)</f>
        <v>-1.0989465057018535</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row>
    <row r="238" spans="1:64" ht="12" hidden="1" customHeight="1" outlineLevel="1">
      <c r="A238" s="9"/>
      <c r="B238" s="9"/>
      <c r="C238" s="9"/>
      <c r="D238" s="130" t="str">
        <f>Asset8</f>
        <v>VBRC</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row>
    <row r="239" spans="1:64" ht="12" hidden="1" customHeight="1" outlineLevel="1">
      <c r="A239" s="9"/>
      <c r="B239" s="9"/>
      <c r="C239" s="9"/>
      <c r="D239" s="130" t="str">
        <f>Asset9</f>
        <v>Equity raising</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row>
    <row r="262" spans="1:64" ht="12" customHeight="1">
      <c r="A262" s="9"/>
      <c r="B262" s="12"/>
      <c r="C262" s="90" t="s">
        <v>59</v>
      </c>
      <c r="D262" s="12"/>
      <c r="E262" s="12"/>
      <c r="F262" s="12"/>
      <c r="G262" s="115"/>
      <c r="H262" s="121"/>
      <c r="I262" s="121"/>
      <c r="J262" s="121"/>
      <c r="K262" s="121"/>
      <c r="L262" s="121">
        <f t="shared" ref="L262:Q262" si="16">SUM(L263:L292)</f>
        <v>-12.223466150039183</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row>
    <row r="263" spans="1:64" ht="12" hidden="1" customHeight="1" outlineLevel="1">
      <c r="A263" s="9"/>
      <c r="B263" s="9"/>
      <c r="C263" s="9"/>
      <c r="D263" s="130" t="str">
        <f>Asset1</f>
        <v>Subtransmission</v>
      </c>
      <c r="E263" s="9"/>
      <c r="F263" s="9"/>
      <c r="G263" s="9"/>
      <c r="H263" s="112"/>
      <c r="I263" s="112"/>
      <c r="J263" s="112"/>
      <c r="K263" s="112"/>
      <c r="L263" s="112">
        <f>IF(M$198=0, 'Adjustment for previous period'!L109, 0)</f>
        <v>7.2240818710464776</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row>
    <row r="264" spans="1:64" hidden="1" outlineLevel="1">
      <c r="A264" s="9"/>
      <c r="B264" s="9"/>
      <c r="C264" s="9"/>
      <c r="D264" s="130" t="str">
        <f>Asset2</f>
        <v>Distribution system assets</v>
      </c>
      <c r="E264" s="9"/>
      <c r="F264" s="9"/>
      <c r="G264" s="9"/>
      <c r="H264" s="112"/>
      <c r="I264" s="112"/>
      <c r="J264" s="112"/>
      <c r="K264" s="112"/>
      <c r="L264" s="112">
        <f>IF(M$198=0, 'Adjustment for previous period'!L111, 0)</f>
        <v>-17.52243620463862</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13"/>
      <c r="BL264" s="213"/>
    </row>
    <row r="265" spans="1:64" ht="12" hidden="1" customHeight="1" outlineLevel="1">
      <c r="A265" s="9"/>
      <c r="B265" s="9"/>
      <c r="C265" s="9"/>
      <c r="D265" s="130" t="str">
        <f>Asset3</f>
        <v>Standard metering</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row>
    <row r="266" spans="1:64" ht="12" hidden="1" customHeight="1" outlineLevel="1">
      <c r="A266" s="9"/>
      <c r="B266" s="9"/>
      <c r="C266" s="9"/>
      <c r="D266" s="130" t="str">
        <f>Asset4</f>
        <v>Public lighting</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row>
    <row r="267" spans="1:64" ht="12" hidden="1" customHeight="1" outlineLevel="1">
      <c r="A267" s="9"/>
      <c r="B267" s="9"/>
      <c r="C267" s="9"/>
      <c r="D267" s="130" t="str">
        <f>Asset5</f>
        <v>SCADA/Network control</v>
      </c>
      <c r="E267" s="9"/>
      <c r="F267" s="9"/>
      <c r="G267" s="9"/>
      <c r="H267" s="112"/>
      <c r="I267" s="112"/>
      <c r="J267" s="112"/>
      <c r="K267" s="112"/>
      <c r="L267" s="112">
        <f>IF(M$198=0, 'Adjustment for previous period'!L117, 0)</f>
        <v>-1.0628528741434082</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row>
    <row r="268" spans="1:64" hidden="1" outlineLevel="1">
      <c r="A268" s="9"/>
      <c r="B268" s="9"/>
      <c r="C268" s="9"/>
      <c r="D268" s="130" t="str">
        <f>Asset6</f>
        <v>Non-network general assets - IT</v>
      </c>
      <c r="E268" s="9"/>
      <c r="F268" s="9"/>
      <c r="G268" s="9"/>
      <c r="H268" s="112"/>
      <c r="I268" s="112"/>
      <c r="J268" s="112"/>
      <c r="K268" s="112"/>
      <c r="L268" s="112">
        <f>IF(M$198=0, 'Adjustment for previous period'!L119, 0)</f>
        <v>-0.23371643926376609</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row>
    <row r="269" spans="1:64" hidden="1" outlineLevel="1">
      <c r="A269" s="9"/>
      <c r="B269" s="9"/>
      <c r="C269" s="9"/>
      <c r="D269" s="130" t="str">
        <f>Asset7</f>
        <v>Non-network general assets - Other</v>
      </c>
      <c r="E269" s="9"/>
      <c r="F269" s="9"/>
      <c r="G269" s="9"/>
      <c r="H269" s="112"/>
      <c r="I269" s="112"/>
      <c r="J269" s="112"/>
      <c r="K269" s="112"/>
      <c r="L269" s="112">
        <f>IF(M$198=0, 'Adjustment for previous period'!L121, 0)</f>
        <v>-0.62854250303986725</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hidden="1" outlineLevel="1">
      <c r="A270" s="9"/>
      <c r="B270" s="9"/>
      <c r="C270" s="9"/>
      <c r="D270" s="130" t="str">
        <f>Asset8</f>
        <v>VBRC</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hidden="1" outlineLevel="1">
      <c r="A271" s="9"/>
      <c r="B271" s="9"/>
      <c r="C271" s="9"/>
      <c r="D271" s="130" t="str">
        <f>Asset9</f>
        <v>Equity raising</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hidden="1" outlineLevel="1">
      <c r="A295" s="9"/>
      <c r="B295" s="9"/>
      <c r="C295" s="9"/>
      <c r="D295" s="130" t="str">
        <f>Asset1</f>
        <v>Subtransmission</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hidden="1" outlineLevel="1">
      <c r="A296" s="9"/>
      <c r="B296" s="9"/>
      <c r="C296" s="9"/>
      <c r="D296" s="130" t="str">
        <f>Asset2</f>
        <v>Distribution system assets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hidden="1" outlineLevel="1">
      <c r="A297" s="9"/>
      <c r="B297" s="9"/>
      <c r="C297" s="9"/>
      <c r="D297" s="130" t="str">
        <f>Asset3</f>
        <v>Standard metering</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hidden="1" outlineLevel="1">
      <c r="A298" s="9"/>
      <c r="B298" s="9"/>
      <c r="C298" s="9"/>
      <c r="D298" s="130" t="str">
        <f>Asset4</f>
        <v>Public lighting</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hidden="1" outlineLevel="1">
      <c r="A299" s="9"/>
      <c r="B299" s="9"/>
      <c r="C299" s="9"/>
      <c r="D299" s="130" t="str">
        <f>Asset5</f>
        <v>SCADA/Network control</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hidden="1" outlineLevel="1">
      <c r="A300" s="9"/>
      <c r="B300" s="9"/>
      <c r="C300" s="9"/>
      <c r="D300" s="130" t="str">
        <f>Asset6</f>
        <v>Non-network general assets - IT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hidden="1" outlineLevel="1">
      <c r="A301" s="9"/>
      <c r="B301" s="9"/>
      <c r="C301" s="9"/>
      <c r="D301" s="130" t="str">
        <f>Asset7</f>
        <v>Non-network general assets - 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hidden="1" outlineLevel="1">
      <c r="A302" s="9"/>
      <c r="B302" s="9"/>
      <c r="C302" s="9"/>
      <c r="D302" s="130" t="str">
        <f>Asset8</f>
        <v>VBRC</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hidden="1" outlineLevel="1">
      <c r="A303" s="9"/>
      <c r="B303" s="9"/>
      <c r="C303" s="9"/>
      <c r="D303" s="130" t="str">
        <f>Asset9</f>
        <v>Equity raising</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43">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43">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43">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43">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43">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43">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43">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43">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43">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43">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43">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hidden="1" outlineLevel="1">
      <c r="A327" s="9"/>
      <c r="B327" s="9"/>
      <c r="C327" s="9"/>
      <c r="D327" s="130" t="str">
        <f>Asset1</f>
        <v>Subtransmission</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hidden="1" outlineLevel="1">
      <c r="A328" s="9"/>
      <c r="B328" s="9"/>
      <c r="C328" s="9"/>
      <c r="D328" s="130" t="str">
        <f>Asset2</f>
        <v>Distribution system assets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hidden="1" outlineLevel="1">
      <c r="A329" s="9"/>
      <c r="B329" s="9"/>
      <c r="C329" s="9"/>
      <c r="D329" s="130" t="str">
        <f>Asset3</f>
        <v>Standard metering</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hidden="1" outlineLevel="1">
      <c r="A330" s="9"/>
      <c r="B330" s="9"/>
      <c r="C330" s="9"/>
      <c r="D330" s="130" t="str">
        <f>Asset4</f>
        <v>Public lighting</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hidden="1" outlineLevel="1">
      <c r="A331" s="9"/>
      <c r="B331" s="9"/>
      <c r="C331" s="9"/>
      <c r="D331" s="130" t="str">
        <f>Asset5</f>
        <v>SCADA/Network control</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hidden="1" outlineLevel="1">
      <c r="A332" s="9"/>
      <c r="B332" s="9"/>
      <c r="C332" s="9"/>
      <c r="D332" s="130" t="str">
        <f>Asset6</f>
        <v>Non-network general assets - IT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hidden="1" outlineLevel="1">
      <c r="A333" s="9"/>
      <c r="B333" s="9"/>
      <c r="C333" s="9"/>
      <c r="D333" s="130" t="str">
        <f>Asset7</f>
        <v>Non-network general assets - 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hidden="1" outlineLevel="1">
      <c r="A334" s="9"/>
      <c r="B334" s="9"/>
      <c r="C334" s="9"/>
      <c r="D334" s="130" t="str">
        <f>Asset8</f>
        <v>VBRC</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hidden="1" outlineLevel="1">
      <c r="A335" s="9"/>
      <c r="B335" s="9"/>
      <c r="C335" s="9"/>
      <c r="D335" s="130" t="str">
        <f>Asset9</f>
        <v>Equity raising</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ollapsed="1">
      <c r="A357" s="9"/>
      <c r="B357" s="9"/>
      <c r="C357" s="9"/>
      <c r="D357" s="9"/>
      <c r="E357" s="9"/>
      <c r="F357" s="9"/>
      <c r="G357" s="9"/>
      <c r="H357" s="9"/>
      <c r="I357" s="9"/>
      <c r="J357" s="9"/>
      <c r="K357" s="9"/>
      <c r="L357" s="284"/>
      <c r="M357" s="284"/>
      <c r="N357" s="285"/>
      <c r="O357" s="284"/>
      <c r="P357" s="284"/>
      <c r="Q357" s="284"/>
      <c r="R357" s="9"/>
      <c r="S357" s="438" t="s">
        <v>203</v>
      </c>
      <c r="T357" s="439" t="s">
        <v>204</v>
      </c>
      <c r="U357" s="440"/>
      <c r="V357" s="441"/>
      <c r="W357" s="9"/>
      <c r="X357" s="442" t="s">
        <v>205</v>
      </c>
      <c r="Y357" s="442"/>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 r="A358" s="74"/>
      <c r="B358" s="74"/>
      <c r="C358" s="81" t="s">
        <v>48</v>
      </c>
      <c r="D358" s="74"/>
      <c r="E358" s="74"/>
      <c r="F358" s="74"/>
      <c r="G358" s="74"/>
      <c r="H358" s="74"/>
      <c r="I358" s="74"/>
      <c r="J358" s="74"/>
      <c r="K358" s="74"/>
      <c r="L358" s="288">
        <f>SUM(L359:L388)</f>
        <v>1786.9105811272875</v>
      </c>
      <c r="M358" s="158">
        <f t="shared" ref="M358:Q358" si="18">SUM(M359:M388)</f>
        <v>0</v>
      </c>
      <c r="N358" s="158">
        <f t="shared" si="18"/>
        <v>0</v>
      </c>
      <c r="O358" s="158">
        <f t="shared" si="18"/>
        <v>0</v>
      </c>
      <c r="P358" s="158">
        <f t="shared" si="18"/>
        <v>0</v>
      </c>
      <c r="Q358" s="158">
        <f t="shared" si="18"/>
        <v>0</v>
      </c>
      <c r="R358" s="158"/>
      <c r="S358" s="443">
        <f t="shared" ref="S358:T358" si="19">SUM(S359:S388)</f>
        <v>15.673350976229818</v>
      </c>
      <c r="T358" s="444">
        <f t="shared" si="19"/>
        <v>1802.5839321035171</v>
      </c>
      <c r="U358" s="9"/>
      <c r="V358" s="9"/>
      <c r="W358" s="9"/>
      <c r="X358" s="445">
        <f t="shared" ref="X358" si="20">SUM(X359:X388)</f>
        <v>13.816113866622882</v>
      </c>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outlineLevel="1">
      <c r="B359" s="9"/>
      <c r="C359" s="9"/>
      <c r="D359" s="130" t="str">
        <f>Asset1</f>
        <v>Subtransmission</v>
      </c>
      <c r="E359" s="9"/>
      <c r="F359" s="9"/>
      <c r="G359" s="9"/>
      <c r="H359" s="9"/>
      <c r="I359" s="9"/>
      <c r="J359" s="9"/>
      <c r="K359" s="9"/>
      <c r="L359" s="37">
        <f>IF(M$198=0, L199+L231+L263+L295+L327, 0)</f>
        <v>407.10230236017662</v>
      </c>
      <c r="M359" s="37">
        <f t="shared" ref="M359:Q359" si="21">IF(N$198=0, M199+M231+M263+M295+M327, 0)</f>
        <v>0</v>
      </c>
      <c r="N359" s="37">
        <f t="shared" si="21"/>
        <v>0</v>
      </c>
      <c r="O359" s="37">
        <f t="shared" si="21"/>
        <v>0</v>
      </c>
      <c r="P359" s="37">
        <f t="shared" si="21"/>
        <v>0</v>
      </c>
      <c r="Q359" s="37">
        <f t="shared" si="21"/>
        <v>0</v>
      </c>
      <c r="R359" s="9"/>
      <c r="S359" s="449">
        <f>X359*'Actual RAB roll forward'!$L$7</f>
        <v>1.8511218306235866</v>
      </c>
      <c r="T359" s="447">
        <f>L359+S359</f>
        <v>408.95342419080021</v>
      </c>
      <c r="U359" s="9"/>
      <c r="V359" s="9"/>
      <c r="W359" s="9"/>
      <c r="X359" s="448">
        <v>1.6317703873073697</v>
      </c>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outlineLevel="1">
      <c r="B360" s="9"/>
      <c r="C360" s="9"/>
      <c r="D360" s="130" t="str">
        <f>Asset2</f>
        <v>Distribution system assets</v>
      </c>
      <c r="E360" s="9"/>
      <c r="F360" s="9"/>
      <c r="G360" s="9"/>
      <c r="H360" s="9"/>
      <c r="I360" s="9"/>
      <c r="J360" s="9"/>
      <c r="K360" s="9"/>
      <c r="L360" s="37">
        <f t="shared" ref="L360:Q369" si="22">IF(M$198=0, L200+L232+L264+L296+L328, 0)</f>
        <v>1304.9219253336985</v>
      </c>
      <c r="M360" s="37">
        <f t="shared" si="22"/>
        <v>0</v>
      </c>
      <c r="N360" s="37">
        <f t="shared" si="22"/>
        <v>0</v>
      </c>
      <c r="O360" s="37">
        <f t="shared" si="22"/>
        <v>0</v>
      </c>
      <c r="P360" s="37">
        <f t="shared" si="22"/>
        <v>0</v>
      </c>
      <c r="Q360" s="37">
        <f t="shared" si="22"/>
        <v>0</v>
      </c>
      <c r="R360" s="9"/>
      <c r="S360" s="446">
        <f>X360*'Actual RAB roll forward'!$L$7</f>
        <v>11.72967110850758</v>
      </c>
      <c r="T360" s="447">
        <f t="shared" ref="T360:T367" si="23">L360+S360</f>
        <v>1316.651596442206</v>
      </c>
      <c r="U360" s="9"/>
      <c r="V360" s="9"/>
      <c r="W360" s="9"/>
      <c r="X360" s="448">
        <v>10.339746229058164</v>
      </c>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outlineLevel="1">
      <c r="B361" s="9"/>
      <c r="C361" s="9"/>
      <c r="D361" s="130" t="str">
        <f>Asset3</f>
        <v>Standard metering</v>
      </c>
      <c r="E361" s="9"/>
      <c r="F361" s="9"/>
      <c r="G361" s="9"/>
      <c r="H361" s="9"/>
      <c r="I361" s="9"/>
      <c r="J361" s="9"/>
      <c r="K361" s="9"/>
      <c r="L361" s="37">
        <f t="shared" si="22"/>
        <v>6.8489940277447703</v>
      </c>
      <c r="M361" s="37">
        <f t="shared" si="22"/>
        <v>0</v>
      </c>
      <c r="N361" s="37">
        <f t="shared" si="22"/>
        <v>0</v>
      </c>
      <c r="O361" s="37">
        <f t="shared" si="22"/>
        <v>0</v>
      </c>
      <c r="P361" s="37">
        <f t="shared" si="22"/>
        <v>0</v>
      </c>
      <c r="Q361" s="37">
        <f t="shared" si="22"/>
        <v>0</v>
      </c>
      <c r="R361" s="9"/>
      <c r="S361" s="446">
        <f>X361*'Actual RAB roll forward'!$L$7</f>
        <v>0.70014411752872852</v>
      </c>
      <c r="T361" s="447">
        <f t="shared" si="23"/>
        <v>7.5491381452734991</v>
      </c>
      <c r="U361" s="9"/>
      <c r="V361" s="9"/>
      <c r="W361" s="9"/>
      <c r="X361" s="448">
        <v>0.61717949566072861</v>
      </c>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outlineLevel="1">
      <c r="B362" s="9"/>
      <c r="C362" s="9"/>
      <c r="D362" s="130" t="str">
        <f>Asset4</f>
        <v>Public lighting</v>
      </c>
      <c r="E362" s="9"/>
      <c r="F362" s="9"/>
      <c r="G362" s="9"/>
      <c r="H362" s="9"/>
      <c r="I362" s="9"/>
      <c r="J362" s="9"/>
      <c r="K362" s="9"/>
      <c r="L362" s="37">
        <f t="shared" si="22"/>
        <v>7.1699288423994672</v>
      </c>
      <c r="M362" s="37">
        <f t="shared" si="22"/>
        <v>0</v>
      </c>
      <c r="N362" s="37">
        <f t="shared" si="22"/>
        <v>0</v>
      </c>
      <c r="O362" s="37">
        <f t="shared" si="22"/>
        <v>0</v>
      </c>
      <c r="P362" s="37">
        <f t="shared" si="22"/>
        <v>0</v>
      </c>
      <c r="Q362" s="37">
        <f t="shared" si="22"/>
        <v>0</v>
      </c>
      <c r="R362" s="9"/>
      <c r="S362" s="446">
        <f>X362*'Actual RAB roll forward'!$L$7</f>
        <v>0.49575435194976281</v>
      </c>
      <c r="T362" s="447">
        <f t="shared" si="23"/>
        <v>7.6656831943492296</v>
      </c>
      <c r="U362" s="9"/>
      <c r="V362" s="9"/>
      <c r="W362" s="9"/>
      <c r="X362" s="448">
        <v>0.43700920031712087</v>
      </c>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outlineLevel="1">
      <c r="B363" s="9"/>
      <c r="C363" s="9"/>
      <c r="D363" s="130" t="str">
        <f>Asset5</f>
        <v>SCADA/Network control</v>
      </c>
      <c r="E363" s="9"/>
      <c r="F363" s="9"/>
      <c r="G363" s="9"/>
      <c r="H363" s="9"/>
      <c r="I363" s="9"/>
      <c r="J363" s="9"/>
      <c r="K363" s="9"/>
      <c r="L363" s="37">
        <f t="shared" si="22"/>
        <v>14.144296280872183</v>
      </c>
      <c r="M363" s="37">
        <f t="shared" si="22"/>
        <v>0</v>
      </c>
      <c r="N363" s="37">
        <f t="shared" si="22"/>
        <v>0</v>
      </c>
      <c r="O363" s="37">
        <f t="shared" si="22"/>
        <v>0</v>
      </c>
      <c r="P363" s="37">
        <f t="shared" si="22"/>
        <v>0</v>
      </c>
      <c r="Q363" s="37">
        <f t="shared" si="22"/>
        <v>0</v>
      </c>
      <c r="R363" s="9"/>
      <c r="S363" s="446">
        <f>X363*'Actual RAB roll forward'!$L$7</f>
        <v>0.26691885600759507</v>
      </c>
      <c r="T363" s="447">
        <f t="shared" si="23"/>
        <v>14.411215136879779</v>
      </c>
      <c r="U363" s="9"/>
      <c r="V363" s="9"/>
      <c r="W363" s="9"/>
      <c r="X363" s="448">
        <v>0.23528990790434889</v>
      </c>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outlineLevel="1">
      <c r="B364" s="9"/>
      <c r="C364" s="9"/>
      <c r="D364" s="130" t="str">
        <f>Asset6</f>
        <v>Non-network general assets - IT</v>
      </c>
      <c r="E364" s="9"/>
      <c r="F364" s="9"/>
      <c r="G364" s="9"/>
      <c r="H364" s="9"/>
      <c r="I364" s="9"/>
      <c r="J364" s="9"/>
      <c r="K364" s="9"/>
      <c r="L364" s="37">
        <f t="shared" si="22"/>
        <v>31.676479174786422</v>
      </c>
      <c r="M364" s="37">
        <f t="shared" si="22"/>
        <v>0</v>
      </c>
      <c r="N364" s="37">
        <f t="shared" si="22"/>
        <v>0</v>
      </c>
      <c r="O364" s="37">
        <f t="shared" si="22"/>
        <v>0</v>
      </c>
      <c r="P364" s="37">
        <f t="shared" si="22"/>
        <v>0</v>
      </c>
      <c r="Q364" s="37">
        <f t="shared" si="22"/>
        <v>0</v>
      </c>
      <c r="R364" s="9"/>
      <c r="S364" s="446">
        <f>X364*'Actual RAB roll forward'!$L$7</f>
        <v>0.42194143080639551</v>
      </c>
      <c r="T364" s="447">
        <f t="shared" si="23"/>
        <v>32.098420605592821</v>
      </c>
      <c r="U364" s="9"/>
      <c r="V364" s="9"/>
      <c r="W364" s="9"/>
      <c r="X364" s="448">
        <v>0.37194285139840805</v>
      </c>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outlineLevel="1">
      <c r="B365" s="9"/>
      <c r="C365" s="9"/>
      <c r="D365" s="130" t="str">
        <f>Asset7</f>
        <v>Non-network general assets - Other</v>
      </c>
      <c r="E365" s="9"/>
      <c r="F365" s="9"/>
      <c r="G365" s="9"/>
      <c r="H365" s="9"/>
      <c r="I365" s="9"/>
      <c r="J365" s="9"/>
      <c r="K365" s="9"/>
      <c r="L365" s="37">
        <f t="shared" si="22"/>
        <v>12.092581060862422</v>
      </c>
      <c r="M365" s="37">
        <f t="shared" si="22"/>
        <v>0</v>
      </c>
      <c r="N365" s="37">
        <f t="shared" si="22"/>
        <v>0</v>
      </c>
      <c r="O365" s="37">
        <f t="shared" si="22"/>
        <v>0</v>
      </c>
      <c r="P365" s="37">
        <f t="shared" si="22"/>
        <v>0</v>
      </c>
      <c r="Q365" s="37">
        <f t="shared" si="22"/>
        <v>0</v>
      </c>
      <c r="R365" s="9"/>
      <c r="S365" s="446">
        <f>X365*'Actual RAB roll forward'!$L$7</f>
        <v>0.20779928080616891</v>
      </c>
      <c r="T365" s="447">
        <f t="shared" si="23"/>
        <v>12.300380341668591</v>
      </c>
      <c r="U365" s="9"/>
      <c r="V365" s="9"/>
      <c r="W365" s="9"/>
      <c r="X365" s="448">
        <v>0.18317579497674075</v>
      </c>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outlineLevel="1">
      <c r="B366" s="9"/>
      <c r="C366" s="9"/>
      <c r="D366" s="130" t="str">
        <f>Asset8</f>
        <v>VBRC</v>
      </c>
      <c r="E366" s="9"/>
      <c r="F366" s="9"/>
      <c r="G366" s="9"/>
      <c r="H366" s="9"/>
      <c r="I366" s="9"/>
      <c r="J366" s="9"/>
      <c r="K366" s="9"/>
      <c r="L366" s="37">
        <f t="shared" si="22"/>
        <v>0</v>
      </c>
      <c r="M366" s="37">
        <f t="shared" si="22"/>
        <v>0</v>
      </c>
      <c r="N366" s="37">
        <f t="shared" si="22"/>
        <v>0</v>
      </c>
      <c r="O366" s="37">
        <f t="shared" si="22"/>
        <v>0</v>
      </c>
      <c r="P366" s="37">
        <f t="shared" si="22"/>
        <v>0</v>
      </c>
      <c r="Q366" s="37">
        <f t="shared" si="22"/>
        <v>0</v>
      </c>
      <c r="R366" s="9"/>
      <c r="S366" s="446">
        <f>X366*'Actual RAB roll forward'!$L$7</f>
        <v>0</v>
      </c>
      <c r="T366" s="447">
        <f t="shared" si="23"/>
        <v>0</v>
      </c>
      <c r="U366" s="9"/>
      <c r="V366" s="9"/>
      <c r="W366" s="9"/>
      <c r="X366" s="448">
        <v>0</v>
      </c>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outlineLevel="1">
      <c r="B367" s="9"/>
      <c r="C367" s="9"/>
      <c r="D367" s="130" t="str">
        <f>Asset9</f>
        <v>Equity raising</v>
      </c>
      <c r="E367" s="9"/>
      <c r="F367" s="9"/>
      <c r="G367" s="9"/>
      <c r="H367" s="9"/>
      <c r="I367" s="9"/>
      <c r="J367" s="9"/>
      <c r="K367" s="9"/>
      <c r="L367" s="37">
        <f t="shared" si="22"/>
        <v>2.9540740467471118</v>
      </c>
      <c r="M367" s="37">
        <f t="shared" si="22"/>
        <v>0</v>
      </c>
      <c r="N367" s="37">
        <f t="shared" si="22"/>
        <v>0</v>
      </c>
      <c r="O367" s="37">
        <f t="shared" si="22"/>
        <v>0</v>
      </c>
      <c r="P367" s="37">
        <f t="shared" si="22"/>
        <v>0</v>
      </c>
      <c r="Q367" s="37">
        <f t="shared" si="22"/>
        <v>0</v>
      </c>
      <c r="R367" s="9"/>
      <c r="S367" s="446">
        <f>X367*'Actual RAB roll forward'!$L$7</f>
        <v>0</v>
      </c>
      <c r="T367" s="447">
        <f t="shared" si="23"/>
        <v>2.9540740467471118</v>
      </c>
      <c r="U367" s="9"/>
      <c r="V367" s="9"/>
      <c r="W367" s="9"/>
      <c r="X367" s="448">
        <v>0</v>
      </c>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outlineLevel="1">
      <c r="B368" s="9"/>
      <c r="C368" s="9"/>
      <c r="D368" s="130">
        <f>Asset10</f>
        <v>0</v>
      </c>
      <c r="E368" s="9"/>
      <c r="F368" s="9"/>
      <c r="G368" s="9"/>
      <c r="H368" s="9"/>
      <c r="I368" s="9"/>
      <c r="J368" s="9"/>
      <c r="K368" s="9"/>
      <c r="L368" s="37">
        <f t="shared" si="22"/>
        <v>0</v>
      </c>
      <c r="M368" s="37">
        <f t="shared" si="22"/>
        <v>0</v>
      </c>
      <c r="N368" s="37">
        <f t="shared" si="22"/>
        <v>0</v>
      </c>
      <c r="O368" s="37">
        <f t="shared" si="22"/>
        <v>0</v>
      </c>
      <c r="P368" s="37">
        <f t="shared" si="22"/>
        <v>0</v>
      </c>
      <c r="Q368" s="37">
        <f t="shared" si="22"/>
        <v>0</v>
      </c>
      <c r="R368" s="9"/>
      <c r="S368" s="9"/>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outlineLevel="1">
      <c r="B369" s="9"/>
      <c r="C369" s="9"/>
      <c r="D369" s="130">
        <f>Asset11</f>
        <v>0</v>
      </c>
      <c r="E369" s="9"/>
      <c r="F369" s="9"/>
      <c r="G369" s="9"/>
      <c r="H369" s="9"/>
      <c r="I369" s="9"/>
      <c r="J369" s="9"/>
      <c r="K369" s="9"/>
      <c r="L369" s="37">
        <f t="shared" si="22"/>
        <v>0</v>
      </c>
      <c r="M369" s="37">
        <f t="shared" si="22"/>
        <v>0</v>
      </c>
      <c r="N369" s="37">
        <f t="shared" si="22"/>
        <v>0</v>
      </c>
      <c r="O369" s="37">
        <f t="shared" si="22"/>
        <v>0</v>
      </c>
      <c r="P369" s="37">
        <f t="shared" si="22"/>
        <v>0</v>
      </c>
      <c r="Q369" s="37">
        <f t="shared" si="22"/>
        <v>0</v>
      </c>
      <c r="R369" s="9"/>
      <c r="S369" s="9"/>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outlineLevel="1">
      <c r="B370" s="9"/>
      <c r="C370" s="9"/>
      <c r="D370" s="130">
        <f>Asset12</f>
        <v>0</v>
      </c>
      <c r="E370" s="9"/>
      <c r="F370" s="9"/>
      <c r="G370" s="9"/>
      <c r="H370" s="9"/>
      <c r="I370" s="9"/>
      <c r="J370" s="9"/>
      <c r="K370" s="9"/>
      <c r="L370" s="37">
        <f t="shared" ref="L370:Q379" si="24">IF(M$198=0, L210+L242+L274+L306+L338, 0)</f>
        <v>0</v>
      </c>
      <c r="M370" s="37">
        <f t="shared" si="24"/>
        <v>0</v>
      </c>
      <c r="N370" s="37">
        <f t="shared" si="24"/>
        <v>0</v>
      </c>
      <c r="O370" s="37">
        <f t="shared" si="24"/>
        <v>0</v>
      </c>
      <c r="P370" s="37">
        <f t="shared" si="24"/>
        <v>0</v>
      </c>
      <c r="Q370" s="37">
        <f t="shared" si="24"/>
        <v>0</v>
      </c>
      <c r="R370" s="9"/>
      <c r="S370" s="9"/>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outlineLevel="1">
      <c r="B371" s="9"/>
      <c r="C371" s="9"/>
      <c r="D371" s="130">
        <f>Asset13</f>
        <v>0</v>
      </c>
      <c r="E371" s="9"/>
      <c r="F371" s="9"/>
      <c r="G371" s="9"/>
      <c r="H371" s="9"/>
      <c r="I371" s="9"/>
      <c r="J371" s="9"/>
      <c r="K371" s="9"/>
      <c r="L371" s="37">
        <f t="shared" si="24"/>
        <v>0</v>
      </c>
      <c r="M371" s="37">
        <f t="shared" si="24"/>
        <v>0</v>
      </c>
      <c r="N371" s="37">
        <f t="shared" si="24"/>
        <v>0</v>
      </c>
      <c r="O371" s="37">
        <f t="shared" si="24"/>
        <v>0</v>
      </c>
      <c r="P371" s="37">
        <f t="shared" si="24"/>
        <v>0</v>
      </c>
      <c r="Q371" s="37">
        <f t="shared" si="24"/>
        <v>0</v>
      </c>
      <c r="R371" s="9"/>
      <c r="S371" s="9"/>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outlineLevel="1">
      <c r="B372" s="9"/>
      <c r="C372" s="9"/>
      <c r="D372" s="130">
        <f>Asset14</f>
        <v>0</v>
      </c>
      <c r="E372" s="9"/>
      <c r="F372" s="9"/>
      <c r="G372" s="9"/>
      <c r="H372" s="9"/>
      <c r="I372" s="9"/>
      <c r="J372" s="9"/>
      <c r="K372" s="9"/>
      <c r="L372" s="37">
        <f t="shared" si="24"/>
        <v>0</v>
      </c>
      <c r="M372" s="37">
        <f t="shared" si="24"/>
        <v>0</v>
      </c>
      <c r="N372" s="37">
        <f t="shared" si="24"/>
        <v>0</v>
      </c>
      <c r="O372" s="37">
        <f t="shared" si="24"/>
        <v>0</v>
      </c>
      <c r="P372" s="37">
        <f t="shared" si="24"/>
        <v>0</v>
      </c>
      <c r="Q372" s="37">
        <f t="shared" si="24"/>
        <v>0</v>
      </c>
      <c r="R372" s="9"/>
      <c r="S372" s="9"/>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outlineLevel="1">
      <c r="B373" s="9"/>
      <c r="C373" s="9"/>
      <c r="D373" s="130">
        <f>Asset15</f>
        <v>0</v>
      </c>
      <c r="E373" s="9"/>
      <c r="F373" s="9"/>
      <c r="G373" s="9"/>
      <c r="H373" s="9"/>
      <c r="I373" s="9"/>
      <c r="J373" s="9"/>
      <c r="K373" s="9"/>
      <c r="L373" s="37">
        <f t="shared" si="24"/>
        <v>0</v>
      </c>
      <c r="M373" s="37">
        <f t="shared" si="24"/>
        <v>0</v>
      </c>
      <c r="N373" s="37">
        <f t="shared" si="24"/>
        <v>0</v>
      </c>
      <c r="O373" s="37">
        <f t="shared" si="24"/>
        <v>0</v>
      </c>
      <c r="P373" s="37">
        <f t="shared" si="24"/>
        <v>0</v>
      </c>
      <c r="Q373" s="37">
        <f t="shared" si="24"/>
        <v>0</v>
      </c>
      <c r="R373" s="9"/>
      <c r="S373" s="9"/>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outlineLevel="1">
      <c r="B374" s="9"/>
      <c r="C374" s="9"/>
      <c r="D374" s="130">
        <f>Asset16</f>
        <v>0</v>
      </c>
      <c r="E374" s="9"/>
      <c r="F374" s="9"/>
      <c r="G374" s="9"/>
      <c r="H374" s="9"/>
      <c r="I374" s="9"/>
      <c r="J374" s="9"/>
      <c r="K374" s="9"/>
      <c r="L374" s="37">
        <f t="shared" si="24"/>
        <v>0</v>
      </c>
      <c r="M374" s="37">
        <f t="shared" si="24"/>
        <v>0</v>
      </c>
      <c r="N374" s="37">
        <f t="shared" si="24"/>
        <v>0</v>
      </c>
      <c r="O374" s="37">
        <f t="shared" si="24"/>
        <v>0</v>
      </c>
      <c r="P374" s="37">
        <f t="shared" si="24"/>
        <v>0</v>
      </c>
      <c r="Q374" s="37">
        <f t="shared" si="24"/>
        <v>0</v>
      </c>
      <c r="R374" s="9"/>
      <c r="S374" s="9"/>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outlineLevel="1">
      <c r="B375" s="9"/>
      <c r="C375" s="9"/>
      <c r="D375" s="130">
        <f>Asset17</f>
        <v>0</v>
      </c>
      <c r="E375" s="9"/>
      <c r="F375" s="9"/>
      <c r="G375" s="9"/>
      <c r="H375" s="9"/>
      <c r="I375" s="9"/>
      <c r="J375" s="9"/>
      <c r="K375" s="9"/>
      <c r="L375" s="37">
        <f t="shared" si="24"/>
        <v>0</v>
      </c>
      <c r="M375" s="37">
        <f t="shared" si="24"/>
        <v>0</v>
      </c>
      <c r="N375" s="37">
        <f t="shared" si="24"/>
        <v>0</v>
      </c>
      <c r="O375" s="37">
        <f t="shared" si="24"/>
        <v>0</v>
      </c>
      <c r="P375" s="37">
        <f t="shared" si="24"/>
        <v>0</v>
      </c>
      <c r="Q375" s="37">
        <f t="shared" si="24"/>
        <v>0</v>
      </c>
      <c r="R375" s="9"/>
      <c r="S375" s="9"/>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outlineLevel="1">
      <c r="B376" s="9"/>
      <c r="C376" s="9"/>
      <c r="D376" s="130">
        <f>Asset18</f>
        <v>0</v>
      </c>
      <c r="E376" s="9"/>
      <c r="F376" s="9"/>
      <c r="G376" s="9"/>
      <c r="H376" s="9"/>
      <c r="I376" s="9"/>
      <c r="J376" s="9"/>
      <c r="K376" s="9"/>
      <c r="L376" s="37">
        <f t="shared" si="24"/>
        <v>0</v>
      </c>
      <c r="M376" s="37">
        <f t="shared" si="24"/>
        <v>0</v>
      </c>
      <c r="N376" s="37">
        <f t="shared" si="24"/>
        <v>0</v>
      </c>
      <c r="O376" s="37">
        <f t="shared" si="24"/>
        <v>0</v>
      </c>
      <c r="P376" s="37">
        <f t="shared" si="24"/>
        <v>0</v>
      </c>
      <c r="Q376" s="37">
        <f t="shared" si="24"/>
        <v>0</v>
      </c>
      <c r="R376" s="9"/>
      <c r="S376" s="9"/>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outlineLevel="1">
      <c r="B377" s="9"/>
      <c r="C377" s="9"/>
      <c r="D377" s="130">
        <f>Asset19</f>
        <v>0</v>
      </c>
      <c r="E377" s="9"/>
      <c r="F377" s="9"/>
      <c r="G377" s="9"/>
      <c r="H377" s="9"/>
      <c r="I377" s="9"/>
      <c r="J377" s="9"/>
      <c r="K377" s="9"/>
      <c r="L377" s="37">
        <f t="shared" si="24"/>
        <v>0</v>
      </c>
      <c r="M377" s="37">
        <f t="shared" si="24"/>
        <v>0</v>
      </c>
      <c r="N377" s="37">
        <f t="shared" si="24"/>
        <v>0</v>
      </c>
      <c r="O377" s="37">
        <f t="shared" si="24"/>
        <v>0</v>
      </c>
      <c r="P377" s="37">
        <f t="shared" si="24"/>
        <v>0</v>
      </c>
      <c r="Q377" s="37">
        <f t="shared" si="24"/>
        <v>0</v>
      </c>
      <c r="R377" s="9"/>
      <c r="S377" s="9"/>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outlineLevel="1">
      <c r="B378" s="9"/>
      <c r="C378" s="9"/>
      <c r="D378" s="130">
        <f>Asset20</f>
        <v>0</v>
      </c>
      <c r="E378" s="9"/>
      <c r="F378" s="9"/>
      <c r="G378" s="9"/>
      <c r="H378" s="9"/>
      <c r="I378" s="9"/>
      <c r="J378" s="9"/>
      <c r="K378" s="9"/>
      <c r="L378" s="37">
        <f t="shared" si="24"/>
        <v>0</v>
      </c>
      <c r="M378" s="37">
        <f t="shared" si="24"/>
        <v>0</v>
      </c>
      <c r="N378" s="37">
        <f t="shared" si="24"/>
        <v>0</v>
      </c>
      <c r="O378" s="37">
        <f t="shared" si="24"/>
        <v>0</v>
      </c>
      <c r="P378" s="37">
        <f t="shared" si="24"/>
        <v>0</v>
      </c>
      <c r="Q378" s="37">
        <f t="shared" si="24"/>
        <v>0</v>
      </c>
      <c r="R378" s="9"/>
      <c r="S378" s="9"/>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outlineLevel="1">
      <c r="B379" s="9"/>
      <c r="C379" s="9"/>
      <c r="D379" s="130">
        <f>Asset21</f>
        <v>0</v>
      </c>
      <c r="E379" s="9"/>
      <c r="F379" s="9"/>
      <c r="G379" s="9"/>
      <c r="H379" s="9"/>
      <c r="I379" s="9"/>
      <c r="J379" s="9"/>
      <c r="K379" s="9"/>
      <c r="L379" s="37">
        <f t="shared" si="24"/>
        <v>0</v>
      </c>
      <c r="M379" s="37">
        <f t="shared" si="24"/>
        <v>0</v>
      </c>
      <c r="N379" s="37">
        <f t="shared" si="24"/>
        <v>0</v>
      </c>
      <c r="O379" s="37">
        <f t="shared" si="24"/>
        <v>0</v>
      </c>
      <c r="P379" s="37">
        <f t="shared" si="24"/>
        <v>0</v>
      </c>
      <c r="Q379" s="37">
        <f t="shared" si="24"/>
        <v>0</v>
      </c>
      <c r="R379" s="9"/>
      <c r="S379" s="9"/>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outlineLevel="1">
      <c r="B380" s="9"/>
      <c r="C380" s="9"/>
      <c r="D380" s="130">
        <f>Asset22</f>
        <v>0</v>
      </c>
      <c r="E380" s="9"/>
      <c r="F380" s="9"/>
      <c r="G380" s="9"/>
      <c r="H380" s="9"/>
      <c r="I380" s="9"/>
      <c r="J380" s="9"/>
      <c r="K380" s="9"/>
      <c r="L380" s="37">
        <f t="shared" ref="L380:Q386" si="25">IF(M$198=0, L220+L252+L284+L316+L348, 0)</f>
        <v>0</v>
      </c>
      <c r="M380" s="37">
        <f t="shared" si="25"/>
        <v>0</v>
      </c>
      <c r="N380" s="37">
        <f t="shared" si="25"/>
        <v>0</v>
      </c>
      <c r="O380" s="37">
        <f t="shared" si="25"/>
        <v>0</v>
      </c>
      <c r="P380" s="37">
        <f t="shared" si="25"/>
        <v>0</v>
      </c>
      <c r="Q380" s="37">
        <f t="shared" si="25"/>
        <v>0</v>
      </c>
      <c r="R380" s="9"/>
      <c r="S380" s="9"/>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outlineLevel="1">
      <c r="B381" s="9"/>
      <c r="C381" s="9"/>
      <c r="D381" s="130">
        <f>Asset23</f>
        <v>0</v>
      </c>
      <c r="E381" s="9"/>
      <c r="F381" s="9"/>
      <c r="G381" s="9"/>
      <c r="H381" s="9"/>
      <c r="I381" s="9"/>
      <c r="J381" s="9"/>
      <c r="K381" s="9"/>
      <c r="L381" s="37">
        <f t="shared" si="25"/>
        <v>0</v>
      </c>
      <c r="M381" s="37">
        <f t="shared" si="25"/>
        <v>0</v>
      </c>
      <c r="N381" s="37">
        <f t="shared" si="25"/>
        <v>0</v>
      </c>
      <c r="O381" s="37">
        <f t="shared" si="25"/>
        <v>0</v>
      </c>
      <c r="P381" s="37">
        <f t="shared" si="25"/>
        <v>0</v>
      </c>
      <c r="Q381" s="37">
        <f t="shared" si="25"/>
        <v>0</v>
      </c>
      <c r="R381" s="9"/>
      <c r="S381" s="9"/>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outlineLevel="1">
      <c r="B382" s="9"/>
      <c r="C382" s="9"/>
      <c r="D382" s="130">
        <f>Asset24</f>
        <v>0</v>
      </c>
      <c r="E382" s="9"/>
      <c r="F382" s="9"/>
      <c r="G382" s="9"/>
      <c r="H382" s="9"/>
      <c r="I382" s="9"/>
      <c r="J382" s="9"/>
      <c r="K382" s="9"/>
      <c r="L382" s="37">
        <f t="shared" si="25"/>
        <v>0</v>
      </c>
      <c r="M382" s="37">
        <f t="shared" si="25"/>
        <v>0</v>
      </c>
      <c r="N382" s="37">
        <f t="shared" si="25"/>
        <v>0</v>
      </c>
      <c r="O382" s="37">
        <f t="shared" si="25"/>
        <v>0</v>
      </c>
      <c r="P382" s="37">
        <f t="shared" si="25"/>
        <v>0</v>
      </c>
      <c r="Q382" s="37">
        <f t="shared" si="25"/>
        <v>0</v>
      </c>
      <c r="R382" s="9"/>
      <c r="S382" s="9"/>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outlineLevel="1">
      <c r="B383" s="9"/>
      <c r="C383" s="9"/>
      <c r="D383" s="130">
        <f>Asset25</f>
        <v>0</v>
      </c>
      <c r="E383" s="9"/>
      <c r="F383" s="9"/>
      <c r="G383" s="9"/>
      <c r="H383" s="9"/>
      <c r="I383" s="9"/>
      <c r="J383" s="9"/>
      <c r="K383" s="9"/>
      <c r="L383" s="37">
        <f t="shared" si="25"/>
        <v>0</v>
      </c>
      <c r="M383" s="37">
        <f t="shared" si="25"/>
        <v>0</v>
      </c>
      <c r="N383" s="37">
        <f t="shared" si="25"/>
        <v>0</v>
      </c>
      <c r="O383" s="37">
        <f t="shared" si="25"/>
        <v>0</v>
      </c>
      <c r="P383" s="37">
        <f t="shared" si="25"/>
        <v>0</v>
      </c>
      <c r="Q383" s="37">
        <f t="shared" si="25"/>
        <v>0</v>
      </c>
      <c r="R383" s="9"/>
      <c r="S383" s="9"/>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outlineLevel="1">
      <c r="B384" s="9"/>
      <c r="C384" s="9"/>
      <c r="D384" s="130">
        <f>Asset26</f>
        <v>0</v>
      </c>
      <c r="E384" s="9"/>
      <c r="F384" s="9"/>
      <c r="G384" s="9"/>
      <c r="H384" s="9"/>
      <c r="I384" s="9"/>
      <c r="J384" s="9"/>
      <c r="K384" s="9"/>
      <c r="L384" s="37">
        <f t="shared" si="25"/>
        <v>0</v>
      </c>
      <c r="M384" s="37">
        <f t="shared" si="25"/>
        <v>0</v>
      </c>
      <c r="N384" s="37">
        <f t="shared" si="25"/>
        <v>0</v>
      </c>
      <c r="O384" s="37">
        <f t="shared" si="25"/>
        <v>0</v>
      </c>
      <c r="P384" s="37">
        <f t="shared" si="25"/>
        <v>0</v>
      </c>
      <c r="Q384" s="37">
        <f t="shared" si="25"/>
        <v>0</v>
      </c>
      <c r="R384" s="9"/>
      <c r="S384" s="9"/>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outlineLevel="1">
      <c r="B385" s="9"/>
      <c r="C385" s="9"/>
      <c r="D385" s="130">
        <f>Asset27</f>
        <v>0</v>
      </c>
      <c r="E385" s="9"/>
      <c r="F385" s="9"/>
      <c r="G385" s="9"/>
      <c r="H385" s="9"/>
      <c r="I385" s="9"/>
      <c r="J385" s="9"/>
      <c r="K385" s="9"/>
      <c r="L385" s="37">
        <f t="shared" si="25"/>
        <v>0</v>
      </c>
      <c r="M385" s="37">
        <f t="shared" si="25"/>
        <v>0</v>
      </c>
      <c r="N385" s="37">
        <f t="shared" si="25"/>
        <v>0</v>
      </c>
      <c r="O385" s="37">
        <f t="shared" si="25"/>
        <v>0</v>
      </c>
      <c r="P385" s="37">
        <f t="shared" si="25"/>
        <v>0</v>
      </c>
      <c r="Q385" s="37">
        <f t="shared" si="25"/>
        <v>0</v>
      </c>
      <c r="R385" s="9"/>
      <c r="S385" s="9"/>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outlineLevel="1">
      <c r="B386" s="9"/>
      <c r="C386" s="9"/>
      <c r="D386" s="130">
        <f>Asset28</f>
        <v>0</v>
      </c>
      <c r="E386" s="9"/>
      <c r="F386" s="9"/>
      <c r="G386" s="9"/>
      <c r="H386" s="9"/>
      <c r="I386" s="9"/>
      <c r="J386" s="9"/>
      <c r="K386" s="9"/>
      <c r="L386" s="37">
        <f t="shared" si="25"/>
        <v>0</v>
      </c>
      <c r="M386" s="37">
        <f t="shared" si="25"/>
        <v>0</v>
      </c>
      <c r="N386" s="37">
        <f t="shared" si="25"/>
        <v>0</v>
      </c>
      <c r="O386" s="37">
        <f t="shared" si="25"/>
        <v>0</v>
      </c>
      <c r="P386" s="37">
        <f t="shared" si="25"/>
        <v>0</v>
      </c>
      <c r="Q386" s="37">
        <f t="shared" si="25"/>
        <v>0</v>
      </c>
      <c r="R386" s="9"/>
      <c r="S386" s="9"/>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outlineLevel="1">
      <c r="B387" s="9"/>
      <c r="C387" s="9"/>
      <c r="D387" s="130">
        <f>Asset29</f>
        <v>0</v>
      </c>
      <c r="E387" s="9"/>
      <c r="F387" s="9"/>
      <c r="G387" s="9"/>
      <c r="H387" s="9"/>
      <c r="I387" s="9"/>
      <c r="J387" s="9"/>
      <c r="K387" s="9"/>
      <c r="L387" s="37">
        <f t="shared" ref="L387:Q387" si="26">IF(M$198=0, L227+L259+L291+L323+L355, 0)</f>
        <v>0</v>
      </c>
      <c r="M387" s="37">
        <f t="shared" si="26"/>
        <v>0</v>
      </c>
      <c r="N387" s="37">
        <f t="shared" si="26"/>
        <v>0</v>
      </c>
      <c r="O387" s="37">
        <f t="shared" si="26"/>
        <v>0</v>
      </c>
      <c r="P387" s="37">
        <f t="shared" si="26"/>
        <v>0</v>
      </c>
      <c r="Q387" s="37">
        <f t="shared" si="26"/>
        <v>0</v>
      </c>
      <c r="R387" s="9"/>
      <c r="S387" s="9"/>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outlineLevel="1">
      <c r="B388" s="9"/>
      <c r="C388" s="9"/>
      <c r="D388" s="130">
        <f>Asset30</f>
        <v>0</v>
      </c>
      <c r="E388" s="9"/>
      <c r="F388" s="9"/>
      <c r="G388" s="9"/>
      <c r="H388" s="9"/>
      <c r="I388" s="9"/>
      <c r="J388" s="9"/>
      <c r="K388" s="9"/>
      <c r="L388" s="37">
        <f t="shared" ref="L388:Q388" si="27">IF(M$198=0, L228+L260+L292+L324+L356, 0)</f>
        <v>0</v>
      </c>
      <c r="M388" s="37">
        <f t="shared" si="27"/>
        <v>0</v>
      </c>
      <c r="N388" s="37">
        <f t="shared" si="27"/>
        <v>0</v>
      </c>
      <c r="O388" s="37">
        <f t="shared" si="27"/>
        <v>0</v>
      </c>
      <c r="P388" s="37">
        <f t="shared" si="27"/>
        <v>0</v>
      </c>
      <c r="Q388" s="37">
        <f t="shared" si="27"/>
        <v>0</v>
      </c>
      <c r="R388" s="9"/>
      <c r="S388" s="9"/>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 r="A394" s="9"/>
      <c r="B394" s="9"/>
      <c r="C394" s="9"/>
      <c r="D394" s="9"/>
      <c r="E394" s="9"/>
      <c r="F394" s="9"/>
      <c r="G394" s="37"/>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row>
    <row r="461" spans="1:66">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row>
    <row r="462" spans="1:66">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row>
    <row r="463" spans="1:66">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row>
    <row r="464" spans="1:66">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row>
    <row r="465" spans="2:66">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row>
    <row r="466" spans="2:66">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row>
    <row r="467" spans="2:66">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row>
    <row r="468" spans="2:66">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row>
    <row r="469" spans="2:66">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row>
    <row r="470" spans="2:66">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Y660"/>
  <sheetViews>
    <sheetView zoomScale="85" workbookViewId="0"/>
  </sheetViews>
  <sheetFormatPr defaultRowHeight="12.75" outlineLevelRow="1"/>
  <cols>
    <col min="1" max="1" width="4.140625" customWidth="1"/>
    <col min="2" max="2" width="25.42578125" customWidth="1"/>
    <col min="3" max="3" width="12" customWidth="1"/>
    <col min="4" max="4" width="5.42578125" customWidth="1"/>
    <col min="5" max="5" width="18.140625" style="265" customWidth="1"/>
    <col min="6" max="6" width="21" style="265" customWidth="1"/>
    <col min="7" max="7" width="4.140625" style="266" customWidth="1"/>
    <col min="8" max="8" width="12.7109375" style="262" bestFit="1" customWidth="1"/>
    <col min="9" max="12" width="12.7109375" style="262" customWidth="1"/>
    <col min="13" max="13" width="24.140625" customWidth="1"/>
    <col min="15" max="15" width="17.7109375" customWidth="1"/>
  </cols>
  <sheetData>
    <row r="1" spans="1:25">
      <c r="A1" s="250"/>
      <c r="B1" s="250"/>
      <c r="C1" s="250"/>
      <c r="D1" s="250"/>
      <c r="E1" s="250"/>
      <c r="F1" s="250"/>
      <c r="G1" s="250"/>
      <c r="H1" s="250"/>
      <c r="I1" s="250"/>
      <c r="J1" s="250"/>
      <c r="K1" s="250"/>
      <c r="L1" s="250"/>
      <c r="M1" s="250"/>
      <c r="N1" s="250"/>
      <c r="O1" s="250"/>
      <c r="P1" s="250"/>
      <c r="Q1" s="250"/>
      <c r="R1" s="250"/>
      <c r="S1" s="250"/>
      <c r="T1" s="250"/>
      <c r="U1" s="250"/>
      <c r="V1" s="250"/>
      <c r="W1" s="250"/>
      <c r="X1" s="250"/>
      <c r="Y1" s="250"/>
    </row>
    <row r="2" spans="1:25" ht="15.75">
      <c r="A2" s="250"/>
      <c r="B2" s="57" t="str">
        <f>"Average Remaining Asset Lives Roll Forward - RFM "&amp;Intro!L4</f>
        <v xml:space="preserve">Average Remaining Asset Lives Roll Forward - RFM </v>
      </c>
      <c r="C2" s="46"/>
      <c r="D2" s="46"/>
      <c r="E2" s="46"/>
      <c r="F2" s="46"/>
      <c r="G2" s="46"/>
      <c r="H2" s="46"/>
      <c r="I2" s="46"/>
      <c r="J2" s="46"/>
      <c r="K2" s="46"/>
      <c r="L2" s="46"/>
      <c r="M2" s="46"/>
      <c r="N2" s="46"/>
      <c r="O2" s="46"/>
      <c r="P2" s="46"/>
      <c r="Q2" s="46"/>
      <c r="R2" s="46"/>
      <c r="S2" s="46"/>
      <c r="T2" s="46"/>
      <c r="U2" s="46"/>
      <c r="V2" s="46"/>
      <c r="W2" s="46"/>
      <c r="X2" s="46"/>
      <c r="Y2" s="46"/>
    </row>
    <row r="3" spans="1:25">
      <c r="A3" s="46"/>
      <c r="B3" s="46"/>
      <c r="C3" s="46"/>
      <c r="D3" s="46"/>
      <c r="E3" s="46"/>
      <c r="F3" s="46"/>
      <c r="G3" s="46"/>
      <c r="H3" s="46"/>
      <c r="I3" s="46"/>
      <c r="J3" s="46"/>
      <c r="K3" s="46"/>
      <c r="L3" s="46"/>
      <c r="M3" s="46"/>
      <c r="N3" s="46"/>
      <c r="O3" s="46"/>
      <c r="P3" s="46"/>
      <c r="Q3" s="46"/>
      <c r="R3" s="46"/>
      <c r="S3" s="46"/>
      <c r="T3" s="46"/>
      <c r="U3" s="46"/>
      <c r="V3" s="46"/>
      <c r="W3" s="46"/>
      <c r="X3" s="46"/>
      <c r="Y3" s="46"/>
    </row>
    <row r="4" spans="1:25" ht="16.5" customHeight="1">
      <c r="A4" s="82"/>
      <c r="B4" s="83"/>
      <c r="C4" s="82"/>
      <c r="D4" s="82"/>
      <c r="E4" s="147" t="s">
        <v>113</v>
      </c>
      <c r="F4" s="515" t="s">
        <v>213</v>
      </c>
      <c r="G4" s="147"/>
      <c r="H4" s="147">
        <v>2016</v>
      </c>
      <c r="I4" s="147">
        <v>2017</v>
      </c>
      <c r="J4" s="147">
        <v>2018</v>
      </c>
      <c r="K4" s="147">
        <v>2019</v>
      </c>
      <c r="L4" s="147">
        <v>2020</v>
      </c>
      <c r="M4" s="147" t="s">
        <v>114</v>
      </c>
      <c r="N4" s="46"/>
      <c r="O4" s="46"/>
      <c r="P4" s="46"/>
      <c r="Q4" s="46"/>
      <c r="R4" s="46"/>
      <c r="S4" s="46"/>
      <c r="T4" s="46"/>
      <c r="U4" s="46"/>
      <c r="V4" s="46"/>
      <c r="W4" s="46"/>
      <c r="X4" s="46"/>
      <c r="Y4" s="46"/>
    </row>
    <row r="5" spans="1:25">
      <c r="A5" s="74"/>
      <c r="B5" s="81" t="s">
        <v>111</v>
      </c>
      <c r="C5" s="74"/>
      <c r="D5" s="74"/>
      <c r="E5" s="251" t="str">
        <f>"($m Real "&amp;'Tax value roll forward'!G4&amp;")"</f>
        <v>($m Real 2010)</v>
      </c>
      <c r="F5" s="251" t="s">
        <v>112</v>
      </c>
      <c r="G5" s="252"/>
      <c r="H5" s="251" t="s">
        <v>142</v>
      </c>
      <c r="I5" s="251" t="s">
        <v>142</v>
      </c>
      <c r="J5" s="251" t="s">
        <v>142</v>
      </c>
      <c r="K5" s="251" t="s">
        <v>142</v>
      </c>
      <c r="L5" s="251" t="s">
        <v>142</v>
      </c>
      <c r="M5" s="251" t="s">
        <v>112</v>
      </c>
      <c r="N5" s="46"/>
      <c r="O5" s="302"/>
      <c r="P5" s="46"/>
      <c r="Q5" s="46"/>
      <c r="R5" s="46"/>
      <c r="S5" s="46"/>
      <c r="T5" s="46"/>
      <c r="U5" s="46"/>
      <c r="V5" s="46"/>
      <c r="W5" s="46"/>
      <c r="X5" s="46"/>
      <c r="Y5" s="46"/>
    </row>
    <row r="6" spans="1:25" s="189" customFormat="1" ht="12.75" customHeight="1">
      <c r="A6" s="12"/>
      <c r="B6" s="12"/>
      <c r="C6" s="12"/>
      <c r="D6" s="253"/>
      <c r="E6" s="254" t="s">
        <v>113</v>
      </c>
      <c r="F6" s="254"/>
      <c r="G6" s="12"/>
      <c r="H6" s="254">
        <f>Input!$X$7+5</f>
        <v>2016</v>
      </c>
      <c r="I6" s="254">
        <f>H6+1</f>
        <v>2017</v>
      </c>
      <c r="J6" s="254">
        <f>I6+1</f>
        <v>2018</v>
      </c>
      <c r="K6" s="254">
        <f>J6+1</f>
        <v>2019</v>
      </c>
      <c r="L6" s="254">
        <f>K6+1</f>
        <v>2020</v>
      </c>
      <c r="M6" s="254" t="s">
        <v>114</v>
      </c>
      <c r="N6" s="46"/>
      <c r="O6" s="254"/>
      <c r="P6" s="46"/>
      <c r="Q6" s="46"/>
      <c r="R6" s="46"/>
      <c r="S6" s="46"/>
      <c r="T6" s="46"/>
      <c r="U6" s="46"/>
      <c r="V6" s="46"/>
      <c r="W6" s="46"/>
      <c r="X6" s="46"/>
      <c r="Y6" s="46"/>
    </row>
    <row r="7" spans="1:25" s="189" customFormat="1" ht="12.75" hidden="1" customHeight="1" outlineLevel="1">
      <c r="A7" s="12"/>
      <c r="B7" s="255" t="str">
        <f>Asset1</f>
        <v>Subtransmission</v>
      </c>
      <c r="C7" s="12"/>
      <c r="D7" s="12"/>
      <c r="E7" s="254"/>
      <c r="F7" s="254"/>
      <c r="G7" s="12"/>
      <c r="H7" s="254"/>
      <c r="I7" s="254"/>
      <c r="J7" s="254"/>
      <c r="K7" s="254"/>
      <c r="L7" s="254"/>
      <c r="M7" s="254"/>
      <c r="N7" s="46"/>
      <c r="O7" s="46"/>
      <c r="P7" s="46"/>
      <c r="Q7" s="46"/>
      <c r="R7" s="46"/>
      <c r="S7" s="46"/>
      <c r="T7" s="46"/>
      <c r="U7" s="46"/>
      <c r="V7" s="46"/>
      <c r="W7" s="46"/>
      <c r="X7" s="46"/>
      <c r="Y7" s="46"/>
    </row>
    <row r="8" spans="1:25" ht="12.75" hidden="1" customHeight="1" outlineLevel="1">
      <c r="A8" s="9"/>
      <c r="B8" s="9"/>
      <c r="C8" s="541" t="s">
        <v>28</v>
      </c>
      <c r="D8" s="542"/>
      <c r="E8" s="256">
        <f ca="1">A1value-SUM('Actual RAB roll forward'!H44:OFFSET('Actual RAB roll forward'!H44,0,Input!$Y$7-1))</f>
        <v>119.20759850114597</v>
      </c>
      <c r="F8" s="256">
        <f>IF(A1remlife="N/A",0,A1remlife-Input!$Y$7)</f>
        <v>18.314816947895022</v>
      </c>
      <c r="G8" s="257"/>
      <c r="H8" s="256">
        <f ca="1">IF($F8=0,0,IF($F8-(H$6-$H$6)&lt;0,0,IF($F8-(H$6-$H$6)&lt;1,($F8-ROUNDDOWN($F8,0))*$E8/$F8,$E8/$F8)))</f>
        <v>6.5088064401783097</v>
      </c>
      <c r="I8" s="256">
        <f ca="1">IF($F8=0,0,IF($F8-(I$6-$H$6)&lt;0,0,IF($F8-(I$6-$H$6)&lt;1,($F8-ROUNDDOWN($F8,0))*$E8/$F8,$E8/$F8)))</f>
        <v>6.5088064401783097</v>
      </c>
      <c r="J8" s="256">
        <f ca="1">IF($F8=0,0,IF($F8-(J$6-$H$6)&lt;0,0,IF($F8-(J$6-$H$6)&lt;1,($F8-ROUNDDOWN($F8,0))*$E8/$F8,$E8/$F8)))</f>
        <v>6.5088064401783097</v>
      </c>
      <c r="K8" s="256">
        <f ca="1">IF($F8=0,0,IF($F8-(K$6-$H$6)&lt;0,0,IF($F8-(K$6-$H$6)&lt;1,($F8-ROUNDDOWN($F8,0))*$E8/$F8,$E8/$F8)))</f>
        <v>6.5088064401783097</v>
      </c>
      <c r="L8" s="256">
        <f ca="1">IF($F8=0,0,IF($F8-(L$6-$H$6)&lt;0,0,IF($F8-(L$6-$H$6)&lt;1,($F8-ROUNDDOWN($F8,0))*$E8/$F8,$E8/$F8)))</f>
        <v>6.5088064401783097</v>
      </c>
      <c r="M8" s="9"/>
      <c r="N8" s="46"/>
      <c r="O8" s="301"/>
      <c r="P8" s="117"/>
      <c r="Q8" s="46"/>
      <c r="R8" s="46"/>
      <c r="S8" s="46"/>
      <c r="T8" s="46"/>
      <c r="U8" s="46"/>
      <c r="V8" s="292"/>
      <c r="W8" s="46"/>
      <c r="X8" s="46"/>
      <c r="Y8" s="46"/>
    </row>
    <row r="9" spans="1:25" ht="12.75" hidden="1" customHeight="1" outlineLevel="1">
      <c r="A9" s="9"/>
      <c r="B9" s="9"/>
      <c r="C9" s="538" t="s">
        <v>86</v>
      </c>
      <c r="D9" s="87">
        <v>1</v>
      </c>
      <c r="E9" s="256">
        <f ca="1">OFFSET('Actual RAB roll forward'!H$12,0,D9-1)-SUM('Actual RAB roll forward'!H46:OFFSET('Actual RAB roll forward'!H46,0,Input!$Y$7-1))</f>
        <v>77.181842947326217</v>
      </c>
      <c r="F9" s="256">
        <f ca="1">IF(A1stdlife="N/A",0,IF(E9=0,0,A1stdlife+D9-Input!$Y$7))</f>
        <v>46</v>
      </c>
      <c r="G9" s="257"/>
      <c r="H9" s="256">
        <f t="shared" ref="H9:L18" ca="1" si="0">IF($F9=0,0,IF($F9-(H$6-$H$6)&lt;0,0,IF($F9-(H$6-$H$6)&lt;1,($F9-ROUNDDOWN($F9,0))*$E9/$F9,$E9/$F9)))</f>
        <v>1.6778661510288309</v>
      </c>
      <c r="I9" s="256">
        <f t="shared" ca="1" si="0"/>
        <v>1.6778661510288309</v>
      </c>
      <c r="J9" s="256">
        <f t="shared" ca="1" si="0"/>
        <v>1.6778661510288309</v>
      </c>
      <c r="K9" s="256">
        <f t="shared" ca="1" si="0"/>
        <v>1.6778661510288309</v>
      </c>
      <c r="L9" s="256">
        <f t="shared" ca="1" si="0"/>
        <v>1.6778661510288309</v>
      </c>
      <c r="M9" s="9"/>
      <c r="N9" s="46"/>
      <c r="O9" s="301"/>
      <c r="P9" s="117"/>
      <c r="Q9" s="46"/>
      <c r="R9" s="46"/>
      <c r="S9" s="46"/>
      <c r="T9" s="46"/>
      <c r="U9" s="46"/>
      <c r="V9" s="292"/>
      <c r="W9" s="46"/>
      <c r="X9" s="46"/>
      <c r="Y9" s="46"/>
    </row>
    <row r="10" spans="1:25" ht="12.75" hidden="1" customHeight="1" outlineLevel="1">
      <c r="A10" s="9"/>
      <c r="B10" s="9"/>
      <c r="C10" s="539"/>
      <c r="D10" s="87">
        <v>2</v>
      </c>
      <c r="E10" s="256">
        <f ca="1">OFFSET('Actual RAB roll forward'!H$12,0,D10-1)-SUM('Actual RAB roll forward'!H47:OFFSET('Actual RAB roll forward'!H47,0,Input!$Y$7-1))</f>
        <v>26.380123368263146</v>
      </c>
      <c r="F10" s="256">
        <f ca="1">IF(A1stdlife="N/A",0,IF(E10=0,0,A1stdlife+D10-Input!$Y$7))</f>
        <v>47</v>
      </c>
      <c r="G10" s="257"/>
      <c r="H10" s="256">
        <f t="shared" ca="1" si="0"/>
        <v>0.5612792206013435</v>
      </c>
      <c r="I10" s="256">
        <f t="shared" ca="1" si="0"/>
        <v>0.5612792206013435</v>
      </c>
      <c r="J10" s="256">
        <f t="shared" ca="1" si="0"/>
        <v>0.5612792206013435</v>
      </c>
      <c r="K10" s="256">
        <f t="shared" ca="1" si="0"/>
        <v>0.5612792206013435</v>
      </c>
      <c r="L10" s="256">
        <f t="shared" ca="1" si="0"/>
        <v>0.5612792206013435</v>
      </c>
      <c r="M10" s="9"/>
      <c r="N10" s="46"/>
      <c r="O10" s="301"/>
      <c r="P10" s="117"/>
      <c r="Q10" s="46"/>
      <c r="R10" s="46"/>
      <c r="S10" s="46"/>
      <c r="T10" s="46"/>
      <c r="U10" s="46"/>
      <c r="V10" s="292"/>
      <c r="W10" s="46"/>
      <c r="X10" s="46"/>
      <c r="Y10" s="46"/>
    </row>
    <row r="11" spans="1:25" ht="12.75" hidden="1" customHeight="1" outlineLevel="1">
      <c r="A11" s="9"/>
      <c r="B11" s="9"/>
      <c r="C11" s="539"/>
      <c r="D11" s="87">
        <v>3</v>
      </c>
      <c r="E11" s="256">
        <f ca="1">OFFSET('Actual RAB roll forward'!H$12,0,D11-1)-SUM('Actual RAB roll forward'!H48:OFFSET('Actual RAB roll forward'!H48,0,Input!$Y$7-1))</f>
        <v>53.855379465870264</v>
      </c>
      <c r="F11" s="256">
        <f ca="1">IF(A1stdlife="N/A",0,IF(E11=0,0,A1stdlife+D11-Input!$Y$7))</f>
        <v>48</v>
      </c>
      <c r="G11" s="257"/>
      <c r="H11" s="256">
        <f t="shared" ca="1" si="0"/>
        <v>1.1219870722056304</v>
      </c>
      <c r="I11" s="256">
        <f t="shared" ca="1" si="0"/>
        <v>1.1219870722056304</v>
      </c>
      <c r="J11" s="256">
        <f t="shared" ca="1" si="0"/>
        <v>1.1219870722056304</v>
      </c>
      <c r="K11" s="256">
        <f t="shared" ca="1" si="0"/>
        <v>1.1219870722056304</v>
      </c>
      <c r="L11" s="256">
        <f t="shared" ca="1" si="0"/>
        <v>1.1219870722056304</v>
      </c>
      <c r="M11" s="9"/>
      <c r="N11" s="46"/>
      <c r="O11" s="301"/>
      <c r="P11" s="117"/>
      <c r="Q11" s="46"/>
      <c r="R11" s="46"/>
      <c r="S11" s="46"/>
      <c r="T11" s="46"/>
      <c r="U11" s="46"/>
      <c r="V11" s="292"/>
      <c r="W11" s="46"/>
      <c r="X11" s="46"/>
      <c r="Y11" s="46"/>
    </row>
    <row r="12" spans="1:25" ht="12.75" hidden="1" customHeight="1" outlineLevel="1">
      <c r="A12" s="9"/>
      <c r="B12" s="9"/>
      <c r="C12" s="539"/>
      <c r="D12" s="87">
        <v>4</v>
      </c>
      <c r="E12" s="256">
        <f ca="1">OFFSET('Actual RAB roll forward'!H$12,0,D12-1)-SUM('Actual RAB roll forward'!H49:OFFSET('Actual RAB roll forward'!H49,0,Input!$Y$7-1))</f>
        <v>25.559523322534716</v>
      </c>
      <c r="F12" s="256">
        <f ca="1">IF(A1stdlife="N/A",0,IF(E12=0,0,A1stdlife+D12-Input!$Y$7))</f>
        <v>49</v>
      </c>
      <c r="G12" s="257"/>
      <c r="H12" s="256">
        <f t="shared" ca="1" si="0"/>
        <v>0.52162292494968809</v>
      </c>
      <c r="I12" s="256">
        <f t="shared" ca="1" si="0"/>
        <v>0.52162292494968809</v>
      </c>
      <c r="J12" s="256">
        <f t="shared" ca="1" si="0"/>
        <v>0.52162292494968809</v>
      </c>
      <c r="K12" s="256">
        <f t="shared" ca="1" si="0"/>
        <v>0.52162292494968809</v>
      </c>
      <c r="L12" s="256">
        <f t="shared" ca="1" si="0"/>
        <v>0.52162292494968809</v>
      </c>
      <c r="M12" s="9"/>
      <c r="N12" s="46"/>
      <c r="O12" s="301"/>
      <c r="P12" s="117"/>
      <c r="Q12" s="46"/>
      <c r="R12" s="46"/>
      <c r="S12" s="46"/>
      <c r="T12" s="46"/>
      <c r="U12" s="46"/>
      <c r="V12" s="292"/>
      <c r="W12" s="46"/>
      <c r="X12" s="46"/>
      <c r="Y12" s="46"/>
    </row>
    <row r="13" spans="1:25" ht="12.75" hidden="1" customHeight="1" outlineLevel="1">
      <c r="A13" s="9"/>
      <c r="B13" s="9"/>
      <c r="C13" s="539"/>
      <c r="D13" s="87">
        <v>5</v>
      </c>
      <c r="E13" s="256">
        <f ca="1">OFFSET('Actual RAB roll forward'!H$12,0,D13-1)-SUM('Actual RAB roll forward'!H50:OFFSET('Actual RAB roll forward'!H50,0,Input!$Y$7-1))</f>
        <v>39.175653442723345</v>
      </c>
      <c r="F13" s="256">
        <f ca="1">IF(A1stdlife="N/A",0,IF(E13=0,0,A1stdlife+D13-Input!$Y$7))</f>
        <v>50</v>
      </c>
      <c r="G13" s="257"/>
      <c r="H13" s="256">
        <f t="shared" ca="1" si="0"/>
        <v>0.78351306885446692</v>
      </c>
      <c r="I13" s="256">
        <f t="shared" ca="1" si="0"/>
        <v>0.78351306885446692</v>
      </c>
      <c r="J13" s="256">
        <f t="shared" ca="1" si="0"/>
        <v>0.78351306885446692</v>
      </c>
      <c r="K13" s="256">
        <f t="shared" ca="1" si="0"/>
        <v>0.78351306885446692</v>
      </c>
      <c r="L13" s="256">
        <f t="shared" ca="1" si="0"/>
        <v>0.78351306885446692</v>
      </c>
      <c r="M13" s="9"/>
      <c r="N13" s="46"/>
      <c r="O13" s="301"/>
      <c r="P13" s="117"/>
      <c r="Q13" s="46"/>
      <c r="R13" s="46"/>
      <c r="S13" s="46"/>
      <c r="T13" s="46"/>
      <c r="U13" s="46"/>
      <c r="V13" s="46"/>
      <c r="W13" s="46"/>
      <c r="X13" s="46"/>
      <c r="Y13" s="46"/>
    </row>
    <row r="14" spans="1:25" ht="12.75" hidden="1" customHeight="1" outlineLevel="1">
      <c r="A14" s="9"/>
      <c r="B14" s="9"/>
      <c r="C14" s="539"/>
      <c r="D14" s="87">
        <v>6</v>
      </c>
      <c r="E14" s="256">
        <f ca="1">OFFSET('Actual RAB roll forward'!H$12,0,D14-1)-SUM('Actual RAB roll forward'!H51:OFFSET('Actual RAB roll forward'!H51,0,Input!$Y$7-1))</f>
        <v>0</v>
      </c>
      <c r="F14" s="256">
        <f ca="1">IF(A1stdlife="N/A",0,IF(E14=0,0,A1stdlife+D14-Input!$Y$7))</f>
        <v>0</v>
      </c>
      <c r="G14" s="257"/>
      <c r="H14" s="256">
        <f t="shared" ca="1" si="0"/>
        <v>0</v>
      </c>
      <c r="I14" s="256">
        <f t="shared" ca="1" si="0"/>
        <v>0</v>
      </c>
      <c r="J14" s="256">
        <f t="shared" ca="1" si="0"/>
        <v>0</v>
      </c>
      <c r="K14" s="256">
        <f t="shared" ca="1" si="0"/>
        <v>0</v>
      </c>
      <c r="L14" s="256">
        <f t="shared" ca="1" si="0"/>
        <v>0</v>
      </c>
      <c r="M14" s="9"/>
      <c r="N14" s="46"/>
      <c r="O14" s="46"/>
      <c r="P14" s="46"/>
      <c r="Q14" s="46"/>
      <c r="R14" s="46"/>
      <c r="S14" s="46"/>
      <c r="T14" s="46"/>
      <c r="U14" s="46"/>
      <c r="V14" s="46"/>
      <c r="W14" s="46"/>
      <c r="X14" s="46"/>
      <c r="Y14" s="46"/>
    </row>
    <row r="15" spans="1:25" ht="12.75" hidden="1" customHeight="1" outlineLevel="1">
      <c r="A15" s="9"/>
      <c r="B15" s="9"/>
      <c r="C15" s="539"/>
      <c r="D15" s="87">
        <v>7</v>
      </c>
      <c r="E15" s="256">
        <f ca="1">OFFSET('Actual RAB roll forward'!H$12,0,D15-1)-SUM('Actual RAB roll forward'!H52:OFFSET('Actual RAB roll forward'!H52,0,Input!$Y$7-1))</f>
        <v>0</v>
      </c>
      <c r="F15" s="256">
        <f ca="1">IF(A1stdlife="N/A",0,IF(E15=0,0,A1stdlife+D15-Input!$Y$7))</f>
        <v>0</v>
      </c>
      <c r="G15" s="257"/>
      <c r="H15" s="256">
        <f t="shared" ca="1" si="0"/>
        <v>0</v>
      </c>
      <c r="I15" s="256">
        <f t="shared" ca="1" si="0"/>
        <v>0</v>
      </c>
      <c r="J15" s="256">
        <f t="shared" ca="1" si="0"/>
        <v>0</v>
      </c>
      <c r="K15" s="256">
        <f t="shared" ca="1" si="0"/>
        <v>0</v>
      </c>
      <c r="L15" s="256">
        <f t="shared" ca="1" si="0"/>
        <v>0</v>
      </c>
      <c r="M15" s="9"/>
      <c r="N15" s="46"/>
      <c r="O15" s="46"/>
      <c r="P15" s="46"/>
      <c r="Q15" s="46"/>
      <c r="R15" s="46"/>
      <c r="S15" s="46"/>
      <c r="T15" s="46"/>
      <c r="U15" s="46"/>
      <c r="V15" s="46"/>
      <c r="W15" s="46"/>
      <c r="X15" s="46"/>
      <c r="Y15" s="46"/>
    </row>
    <row r="16" spans="1:25" ht="12.75" hidden="1" customHeight="1" outlineLevel="1">
      <c r="A16" s="9"/>
      <c r="B16" s="9"/>
      <c r="C16" s="539"/>
      <c r="D16" s="87">
        <v>8</v>
      </c>
      <c r="E16" s="256">
        <f ca="1">OFFSET('Actual RAB roll forward'!H$12,0,D16-1)-SUM('Actual RAB roll forward'!H53:OFFSET('Actual RAB roll forward'!H53,0,Input!$Y$7-1))</f>
        <v>0</v>
      </c>
      <c r="F16" s="256">
        <f ca="1">IF(A1stdlife="N/A",0,IF(E16=0,0,A1stdlife+D16-Input!$Y$7))</f>
        <v>0</v>
      </c>
      <c r="G16" s="257"/>
      <c r="H16" s="256">
        <f t="shared" ca="1" si="0"/>
        <v>0</v>
      </c>
      <c r="I16" s="256">
        <f t="shared" ca="1" si="0"/>
        <v>0</v>
      </c>
      <c r="J16" s="256">
        <f t="shared" ca="1" si="0"/>
        <v>0</v>
      </c>
      <c r="K16" s="256">
        <f t="shared" ca="1" si="0"/>
        <v>0</v>
      </c>
      <c r="L16" s="256">
        <f t="shared" ca="1" si="0"/>
        <v>0</v>
      </c>
      <c r="M16" s="9"/>
      <c r="N16" s="46"/>
      <c r="O16" s="46"/>
      <c r="P16" s="46"/>
      <c r="Q16" s="46"/>
      <c r="R16" s="46"/>
      <c r="S16" s="46"/>
      <c r="T16" s="46"/>
      <c r="U16" s="46"/>
      <c r="V16" s="46"/>
      <c r="W16" s="46"/>
      <c r="X16" s="46"/>
      <c r="Y16" s="46"/>
    </row>
    <row r="17" spans="1:25" ht="12.75" hidden="1" customHeight="1" outlineLevel="1">
      <c r="A17" s="9"/>
      <c r="B17" s="9"/>
      <c r="C17" s="539"/>
      <c r="D17" s="87">
        <v>9</v>
      </c>
      <c r="E17" s="256">
        <f ca="1">OFFSET('Actual RAB roll forward'!H$12,0,D17-1)-SUM('Actual RAB roll forward'!H54:OFFSET('Actual RAB roll forward'!H54,0,Input!$Y$7-1))</f>
        <v>0</v>
      </c>
      <c r="F17" s="256">
        <f ca="1">IF(A1stdlife="N/A",0,IF(E17=0,0,A1stdlife+D17-Input!$Y$7))</f>
        <v>0</v>
      </c>
      <c r="G17" s="257"/>
      <c r="H17" s="256">
        <f t="shared" ca="1" si="0"/>
        <v>0</v>
      </c>
      <c r="I17" s="256">
        <f t="shared" ca="1" si="0"/>
        <v>0</v>
      </c>
      <c r="J17" s="256">
        <f t="shared" ca="1" si="0"/>
        <v>0</v>
      </c>
      <c r="K17" s="256">
        <f t="shared" ca="1" si="0"/>
        <v>0</v>
      </c>
      <c r="L17" s="256">
        <f t="shared" ca="1" si="0"/>
        <v>0</v>
      </c>
      <c r="M17" s="9"/>
      <c r="N17" s="46"/>
      <c r="O17" s="46"/>
      <c r="P17" s="46"/>
      <c r="Q17" s="46"/>
      <c r="R17" s="46"/>
      <c r="S17" s="46"/>
      <c r="T17" s="46"/>
      <c r="U17" s="46"/>
      <c r="V17" s="46"/>
      <c r="W17" s="46"/>
      <c r="X17" s="46"/>
      <c r="Y17" s="46"/>
    </row>
    <row r="18" spans="1:25" ht="12.75" hidden="1" customHeight="1" outlineLevel="1">
      <c r="A18" s="9"/>
      <c r="B18" s="9"/>
      <c r="C18" s="540"/>
      <c r="D18" s="88">
        <v>10</v>
      </c>
      <c r="E18" s="256">
        <f ca="1">OFFSET('Actual RAB roll forward'!H$12,0,D18-1)-SUM('Actual RAB roll forward'!H55:OFFSET('Actual RAB roll forward'!H55,0,Input!$Y$7-1))</f>
        <v>0</v>
      </c>
      <c r="F18" s="256">
        <f ca="1">IF(A1stdlife="N/A",0,IF(E18=0,0,A1stdlife+D18-Input!$Y$7))</f>
        <v>0</v>
      </c>
      <c r="G18" s="257"/>
      <c r="H18" s="256">
        <f t="shared" ca="1" si="0"/>
        <v>0</v>
      </c>
      <c r="I18" s="256">
        <f t="shared" ca="1" si="0"/>
        <v>0</v>
      </c>
      <c r="J18" s="256">
        <f t="shared" ca="1" si="0"/>
        <v>0</v>
      </c>
      <c r="K18" s="256">
        <f t="shared" ca="1" si="0"/>
        <v>0</v>
      </c>
      <c r="L18" s="256">
        <f t="shared" ca="1" si="0"/>
        <v>0</v>
      </c>
      <c r="M18" s="9"/>
      <c r="N18" s="46"/>
      <c r="O18" s="46"/>
      <c r="P18" s="46"/>
      <c r="Q18" s="46"/>
      <c r="R18" s="46"/>
      <c r="S18" s="46"/>
      <c r="T18" s="46"/>
      <c r="U18" s="46"/>
      <c r="V18" s="46"/>
      <c r="W18" s="46"/>
      <c r="X18" s="46"/>
      <c r="Y18" s="46"/>
    </row>
    <row r="19" spans="1:25" collapsed="1">
      <c r="A19" s="9"/>
      <c r="B19" s="9"/>
      <c r="C19" s="112" t="str">
        <f>Asset1</f>
        <v>Subtransmission</v>
      </c>
      <c r="D19" s="9"/>
      <c r="E19" s="256">
        <f ca="1">SUM(E8:E18)</f>
        <v>341.36012104786363</v>
      </c>
      <c r="F19" s="516">
        <f ca="1">IF(E19=0,0,SUMPRODUCT(E8:E18,F8:F18)/E19)</f>
        <v>37.408451254748833</v>
      </c>
      <c r="G19" s="257"/>
      <c r="H19" s="256">
        <f t="shared" ref="H19:L19" ca="1" si="1">SUM(H8:H18)</f>
        <v>11.175074877818268</v>
      </c>
      <c r="I19" s="256">
        <f t="shared" ca="1" si="1"/>
        <v>11.175074877818268</v>
      </c>
      <c r="J19" s="256">
        <f t="shared" ca="1" si="1"/>
        <v>11.175074877818268</v>
      </c>
      <c r="K19" s="256">
        <f t="shared" ca="1" si="1"/>
        <v>11.175074877818268</v>
      </c>
      <c r="L19" s="256">
        <f t="shared" ca="1" si="1"/>
        <v>11.175074877818268</v>
      </c>
      <c r="M19" s="256">
        <f ca="1">IF(SUM(H19:L19)=0,0,IF(AND(SUM(H19:L19)=E19,A1stdlife="n/a"),A1remlife-Input!$Y$7,E19/(SUM(H19:L19)/COUNTIF(H19:L19,"&gt;0"))))</f>
        <v>30.546562307644066</v>
      </c>
      <c r="N19" s="46"/>
      <c r="O19" s="256"/>
      <c r="P19" s="256"/>
      <c r="Q19" s="46"/>
      <c r="R19" s="46"/>
      <c r="S19" s="46"/>
      <c r="T19" s="46"/>
      <c r="U19" s="46"/>
      <c r="V19" s="46"/>
      <c r="W19" s="46"/>
      <c r="X19" s="46"/>
      <c r="Y19" s="46"/>
    </row>
    <row r="20" spans="1:25" hidden="1" outlineLevel="1">
      <c r="A20" s="9"/>
      <c r="B20" s="258"/>
      <c r="C20" s="112"/>
      <c r="D20" s="9"/>
      <c r="E20" s="256"/>
      <c r="F20" s="256"/>
      <c r="G20" s="257"/>
      <c r="H20" s="256"/>
      <c r="I20" s="256"/>
      <c r="J20" s="256"/>
      <c r="K20" s="256"/>
      <c r="L20" s="256"/>
      <c r="M20" s="9"/>
      <c r="N20" s="46"/>
      <c r="O20" s="117"/>
      <c r="P20" s="117"/>
      <c r="Q20" s="46"/>
      <c r="R20" s="46"/>
      <c r="S20" s="46"/>
      <c r="T20" s="46"/>
      <c r="U20" s="46"/>
      <c r="V20" s="46"/>
      <c r="W20" s="46"/>
      <c r="X20" s="46"/>
      <c r="Y20" s="46"/>
    </row>
    <row r="21" spans="1:25" hidden="1" outlineLevel="1">
      <c r="A21" s="9"/>
      <c r="B21" s="255" t="str">
        <f>Asset2</f>
        <v>Distribution system assets</v>
      </c>
      <c r="C21" s="259"/>
      <c r="D21" s="260"/>
      <c r="E21" s="261"/>
      <c r="F21" s="256"/>
      <c r="G21" s="257"/>
      <c r="H21" s="256"/>
      <c r="I21" s="256"/>
      <c r="J21" s="256"/>
      <c r="K21" s="256"/>
      <c r="L21" s="256"/>
      <c r="M21" s="9"/>
      <c r="N21" s="46"/>
      <c r="O21" s="46"/>
      <c r="P21" s="46"/>
      <c r="Q21" s="46"/>
      <c r="R21" s="46"/>
      <c r="S21" s="46"/>
      <c r="T21" s="46"/>
      <c r="U21" s="46"/>
      <c r="V21" s="46"/>
      <c r="W21" s="46"/>
      <c r="X21" s="46"/>
      <c r="Y21" s="46"/>
    </row>
    <row r="22" spans="1:25" ht="12.75" hidden="1" customHeight="1" outlineLevel="1">
      <c r="A22" s="9"/>
      <c r="B22" s="9"/>
      <c r="C22" s="541" t="s">
        <v>28</v>
      </c>
      <c r="D22" s="542"/>
      <c r="E22" s="256">
        <f ca="1">A2value-SUM('Actual RAB roll forward'!H57:OFFSET('Actual RAB roll forward'!H57,0,Input!$Y$7-1))</f>
        <v>816.60311554000202</v>
      </c>
      <c r="F22" s="256">
        <f>IF(A2remlife="N/A",0,A2remlife-Input!$Y$7)</f>
        <v>16.558463738876096</v>
      </c>
      <c r="G22" s="257"/>
      <c r="H22" s="256">
        <f ca="1">IF($F22=0,0,IF($F22-(H$6-$H$6)&lt;0,0,IF($F22-(H$6-$H$6)&lt;1,($F22-ROUNDDOWN($F22,0))*$E22/$F22,$E22/$F22)))</f>
        <v>49.316357387839943</v>
      </c>
      <c r="I22" s="256">
        <f ca="1">IF($F22=0,0,IF($F22-(I$6-$H$6)&lt;0,0,IF($F22-(I$6-$H$6)&lt;1,($F22-ROUNDDOWN($F22,0))*$E22/$F22,$E22/$F22)))</f>
        <v>49.316357387839943</v>
      </c>
      <c r="J22" s="256">
        <f ca="1">IF($F22=0,0,IF($F22-(J$6-$H$6)&lt;0,0,IF($F22-(J$6-$H$6)&lt;1,($F22-ROUNDDOWN($F22,0))*$E22/$F22,$E22/$F22)))</f>
        <v>49.316357387839943</v>
      </c>
      <c r="K22" s="256">
        <f ca="1">IF($F22=0,0,IF($F22-(K$6-$H$6)&lt;0,0,IF($F22-(K$6-$H$6)&lt;1,($F22-ROUNDDOWN($F22,0))*$E22/$F22,$E22/$F22)))</f>
        <v>49.316357387839943</v>
      </c>
      <c r="L22" s="256">
        <f ca="1">IF($F22=0,0,IF($F22-(L$6-$H$6)&lt;0,0,IF($F22-(L$6-$H$6)&lt;1,($F22-ROUNDDOWN($F22,0))*$E22/$F22,$E22/$F22)))</f>
        <v>49.316357387839943</v>
      </c>
      <c r="M22" s="9"/>
      <c r="N22" s="46"/>
      <c r="O22" s="46"/>
      <c r="P22" s="46"/>
      <c r="Q22" s="46"/>
      <c r="R22" s="46"/>
      <c r="S22" s="46"/>
      <c r="T22" s="46"/>
      <c r="U22" s="46"/>
      <c r="V22" s="46"/>
      <c r="W22" s="46"/>
      <c r="X22" s="46"/>
      <c r="Y22" s="46"/>
    </row>
    <row r="23" spans="1:25" ht="12.75" hidden="1" customHeight="1" outlineLevel="1">
      <c r="A23" s="9"/>
      <c r="B23" s="9"/>
      <c r="C23" s="538" t="s">
        <v>86</v>
      </c>
      <c r="D23" s="87">
        <v>1</v>
      </c>
      <c r="E23" s="256">
        <f ca="1">OFFSET('Actual RAB roll forward'!H$13,0,D23-1)-SUM('Actual RAB roll forward'!H59:OFFSET('Actual RAB roll forward'!H59,0,Input!$Y$7-1))</f>
        <v>40.936606488392577</v>
      </c>
      <c r="F23" s="256">
        <f ca="1">IF(A2stdlife="N/A",0,IF(E23=0,0,A2stdlife+D23-Input!$Y$7))</f>
        <v>45</v>
      </c>
      <c r="G23" s="257"/>
      <c r="H23" s="256">
        <f t="shared" ref="H23:L32" ca="1" si="2">IF($F23=0,0,IF($F23-(H$6-$H$6)&lt;0,0,IF($F23-(H$6-$H$6)&lt;1,($F23-ROUNDDOWN($F23,0))*$E23/$F23,$E23/$F23)))</f>
        <v>0.90970236640872393</v>
      </c>
      <c r="I23" s="256">
        <f t="shared" ca="1" si="2"/>
        <v>0.90970236640872393</v>
      </c>
      <c r="J23" s="256">
        <f t="shared" ca="1" si="2"/>
        <v>0.90970236640872393</v>
      </c>
      <c r="K23" s="256">
        <f t="shared" ca="1" si="2"/>
        <v>0.90970236640872393</v>
      </c>
      <c r="L23" s="256">
        <f t="shared" ca="1" si="2"/>
        <v>0.90970236640872393</v>
      </c>
      <c r="M23" s="9"/>
      <c r="N23" s="46"/>
      <c r="O23" s="46"/>
      <c r="P23" s="46"/>
      <c r="Q23" s="46"/>
      <c r="R23" s="46"/>
      <c r="S23" s="46"/>
      <c r="T23" s="46"/>
      <c r="U23" s="46"/>
      <c r="V23" s="46"/>
      <c r="W23" s="46"/>
      <c r="X23" s="46"/>
      <c r="Y23" s="46"/>
    </row>
    <row r="24" spans="1:25" hidden="1" outlineLevel="1">
      <c r="A24" s="9"/>
      <c r="B24" s="9"/>
      <c r="C24" s="539"/>
      <c r="D24" s="87">
        <v>2</v>
      </c>
      <c r="E24" s="256">
        <f ca="1">OFFSET('Actual RAB roll forward'!H$13,0,D24-1)-SUM('Actual RAB roll forward'!H60:OFFSET('Actual RAB roll forward'!H60,0,Input!$Y$7-1))</f>
        <v>68.973567955938165</v>
      </c>
      <c r="F24" s="256">
        <f ca="1">IF(A2stdlife="N/A",0,IF(E24=0,0,A2stdlife+D24-Input!$Y$7))</f>
        <v>46</v>
      </c>
      <c r="G24" s="257"/>
      <c r="H24" s="256">
        <f t="shared" ca="1" si="2"/>
        <v>1.4994253903464818</v>
      </c>
      <c r="I24" s="256">
        <f t="shared" ca="1" si="2"/>
        <v>1.4994253903464818</v>
      </c>
      <c r="J24" s="256">
        <f t="shared" ca="1" si="2"/>
        <v>1.4994253903464818</v>
      </c>
      <c r="K24" s="256">
        <f t="shared" ca="1" si="2"/>
        <v>1.4994253903464818</v>
      </c>
      <c r="L24" s="256">
        <f t="shared" ca="1" si="2"/>
        <v>1.4994253903464818</v>
      </c>
      <c r="M24" s="9"/>
      <c r="N24" s="46"/>
      <c r="O24" s="46"/>
      <c r="P24" s="46"/>
      <c r="Q24" s="46"/>
      <c r="R24" s="46"/>
      <c r="S24" s="46"/>
      <c r="T24" s="46"/>
      <c r="U24" s="46"/>
      <c r="V24" s="46"/>
      <c r="W24" s="46"/>
      <c r="X24" s="46"/>
      <c r="Y24" s="46"/>
    </row>
    <row r="25" spans="1:25" hidden="1" outlineLevel="1">
      <c r="A25" s="9"/>
      <c r="B25" s="9"/>
      <c r="C25" s="539"/>
      <c r="D25" s="87">
        <v>3</v>
      </c>
      <c r="E25" s="256">
        <f ca="1">OFFSET('Actual RAB roll forward'!H$13,0,D25-1)-SUM('Actual RAB roll forward'!H61:OFFSET('Actual RAB roll forward'!H61,0,Input!$Y$7-1))</f>
        <v>61.660565914021625</v>
      </c>
      <c r="F25" s="256">
        <f ca="1">IF(A2stdlife="N/A",0,IF(E25=0,0,A2stdlife+D25-Input!$Y$7))</f>
        <v>47</v>
      </c>
      <c r="G25" s="257"/>
      <c r="H25" s="256">
        <f t="shared" ca="1" si="2"/>
        <v>1.3119269343408857</v>
      </c>
      <c r="I25" s="256">
        <f t="shared" ca="1" si="2"/>
        <v>1.3119269343408857</v>
      </c>
      <c r="J25" s="256">
        <f t="shared" ca="1" si="2"/>
        <v>1.3119269343408857</v>
      </c>
      <c r="K25" s="256">
        <f t="shared" ca="1" si="2"/>
        <v>1.3119269343408857</v>
      </c>
      <c r="L25" s="256">
        <f t="shared" ca="1" si="2"/>
        <v>1.3119269343408857</v>
      </c>
      <c r="M25" s="9"/>
      <c r="N25" s="46"/>
      <c r="O25" s="46"/>
      <c r="P25" s="46"/>
      <c r="Q25" s="46"/>
      <c r="R25" s="46"/>
      <c r="S25" s="46"/>
      <c r="T25" s="46"/>
      <c r="U25" s="46"/>
      <c r="V25" s="46"/>
      <c r="W25" s="46"/>
      <c r="X25" s="46"/>
      <c r="Y25" s="46"/>
    </row>
    <row r="26" spans="1:25" hidden="1" outlineLevel="1">
      <c r="A26" s="9"/>
      <c r="B26" s="9"/>
      <c r="C26" s="539"/>
      <c r="D26" s="87">
        <v>4</v>
      </c>
      <c r="E26" s="256">
        <f ca="1">OFFSET('Actual RAB roll forward'!H$13,0,D26-1)-SUM('Actual RAB roll forward'!H62:OFFSET('Actual RAB roll forward'!H62,0,Input!$Y$7-1))</f>
        <v>97.411462053602392</v>
      </c>
      <c r="F26" s="256">
        <f ca="1">IF(A2stdlife="N/A",0,IF(E26=0,0,A2stdlife+D26-Input!$Y$7))</f>
        <v>48</v>
      </c>
      <c r="G26" s="257"/>
      <c r="H26" s="256">
        <f t="shared" ca="1" si="2"/>
        <v>2.0294054594500497</v>
      </c>
      <c r="I26" s="256">
        <f t="shared" ca="1" si="2"/>
        <v>2.0294054594500497</v>
      </c>
      <c r="J26" s="256">
        <f t="shared" ca="1" si="2"/>
        <v>2.0294054594500497</v>
      </c>
      <c r="K26" s="256">
        <f t="shared" ca="1" si="2"/>
        <v>2.0294054594500497</v>
      </c>
      <c r="L26" s="256">
        <f t="shared" ca="1" si="2"/>
        <v>2.0294054594500497</v>
      </c>
      <c r="M26" s="9"/>
      <c r="N26" s="46"/>
      <c r="O26" s="46"/>
      <c r="P26" s="46"/>
      <c r="Q26" s="46"/>
      <c r="R26" s="46"/>
      <c r="S26" s="46"/>
      <c r="T26" s="46"/>
      <c r="U26" s="46"/>
      <c r="V26" s="46"/>
      <c r="W26" s="46"/>
      <c r="X26" s="46"/>
      <c r="Y26" s="46"/>
    </row>
    <row r="27" spans="1:25" hidden="1" outlineLevel="1">
      <c r="A27" s="9"/>
      <c r="B27" s="9"/>
      <c r="C27" s="539"/>
      <c r="D27" s="87">
        <v>5</v>
      </c>
      <c r="E27" s="256">
        <f ca="1">OFFSET('Actual RAB roll forward'!H$13,0,D27-1)-SUM('Actual RAB roll forward'!H63:OFFSET('Actual RAB roll forward'!H63,0,Input!$Y$7-1))</f>
        <v>107.16003641322018</v>
      </c>
      <c r="F27" s="256">
        <f ca="1">IF(A2stdlife="N/A",0,IF(E27=0,0,A2stdlife+D27-Input!$Y$7))</f>
        <v>49</v>
      </c>
      <c r="G27" s="257"/>
      <c r="H27" s="256">
        <f t="shared" ca="1" si="2"/>
        <v>2.1869395186371468</v>
      </c>
      <c r="I27" s="256">
        <f t="shared" ca="1" si="2"/>
        <v>2.1869395186371468</v>
      </c>
      <c r="J27" s="256">
        <f t="shared" ca="1" si="2"/>
        <v>2.1869395186371468</v>
      </c>
      <c r="K27" s="256">
        <f t="shared" ca="1" si="2"/>
        <v>2.1869395186371468</v>
      </c>
      <c r="L27" s="256">
        <f t="shared" ca="1" si="2"/>
        <v>2.1869395186371468</v>
      </c>
      <c r="M27" s="9"/>
      <c r="N27" s="46"/>
      <c r="O27" s="46"/>
      <c r="P27" s="46"/>
      <c r="Q27" s="46"/>
      <c r="R27" s="46"/>
      <c r="S27" s="46"/>
      <c r="T27" s="46"/>
      <c r="U27" s="46"/>
      <c r="V27" s="46"/>
      <c r="W27" s="46"/>
      <c r="X27" s="46"/>
      <c r="Y27" s="46"/>
    </row>
    <row r="28" spans="1:25" hidden="1" outlineLevel="1">
      <c r="A28" s="9"/>
      <c r="B28" s="9"/>
      <c r="C28" s="539"/>
      <c r="D28" s="87">
        <v>6</v>
      </c>
      <c r="E28" s="256">
        <f ca="1">OFFSET('Actual RAB roll forward'!H$13,0,D28-1)-SUM('Actual RAB roll forward'!H64:OFFSET('Actual RAB roll forward'!H64,0,Input!$Y$7-1))</f>
        <v>0</v>
      </c>
      <c r="F28" s="256">
        <f ca="1">IF(A2stdlife="N/A",0,IF(E28=0,0,A2stdlife+D28-Input!$Y$7))</f>
        <v>0</v>
      </c>
      <c r="G28" s="257"/>
      <c r="H28" s="256">
        <f t="shared" ca="1" si="2"/>
        <v>0</v>
      </c>
      <c r="I28" s="256">
        <f t="shared" ca="1" si="2"/>
        <v>0</v>
      </c>
      <c r="J28" s="256">
        <f t="shared" ca="1" si="2"/>
        <v>0</v>
      </c>
      <c r="K28" s="256">
        <f t="shared" ca="1" si="2"/>
        <v>0</v>
      </c>
      <c r="L28" s="256">
        <f t="shared" ca="1" si="2"/>
        <v>0</v>
      </c>
      <c r="M28" s="9"/>
      <c r="N28" s="46"/>
      <c r="O28" s="46"/>
      <c r="P28" s="46"/>
      <c r="Q28" s="46"/>
      <c r="R28" s="46"/>
      <c r="S28" s="46"/>
      <c r="T28" s="46"/>
      <c r="U28" s="46"/>
      <c r="V28" s="46"/>
      <c r="W28" s="46"/>
      <c r="X28" s="46"/>
      <c r="Y28" s="46"/>
    </row>
    <row r="29" spans="1:25" hidden="1" outlineLevel="1">
      <c r="A29" s="9"/>
      <c r="B29" s="9"/>
      <c r="C29" s="539"/>
      <c r="D29" s="87">
        <v>7</v>
      </c>
      <c r="E29" s="256">
        <f ca="1">OFFSET('Actual RAB roll forward'!H$13,0,D29-1)-SUM('Actual RAB roll forward'!H65:OFFSET('Actual RAB roll forward'!H65,0,Input!$Y$7-1))</f>
        <v>0</v>
      </c>
      <c r="F29" s="256">
        <f ca="1">IF(A2stdlife="N/A",0,IF(E29=0,0,A2stdlife+D29-Input!$Y$7))</f>
        <v>0</v>
      </c>
      <c r="G29" s="257"/>
      <c r="H29" s="256">
        <f t="shared" ca="1" si="2"/>
        <v>0</v>
      </c>
      <c r="I29" s="256">
        <f t="shared" ca="1" si="2"/>
        <v>0</v>
      </c>
      <c r="J29" s="256">
        <f t="shared" ca="1" si="2"/>
        <v>0</v>
      </c>
      <c r="K29" s="256">
        <f t="shared" ca="1" si="2"/>
        <v>0</v>
      </c>
      <c r="L29" s="256">
        <f t="shared" ca="1" si="2"/>
        <v>0</v>
      </c>
      <c r="M29" s="9"/>
      <c r="N29" s="46"/>
      <c r="O29" s="46"/>
      <c r="P29" s="46"/>
      <c r="Q29" s="46"/>
      <c r="R29" s="46"/>
      <c r="S29" s="46"/>
      <c r="T29" s="46"/>
      <c r="U29" s="46"/>
      <c r="V29" s="46"/>
      <c r="W29" s="46"/>
      <c r="X29" s="46"/>
      <c r="Y29" s="46"/>
    </row>
    <row r="30" spans="1:25" hidden="1" outlineLevel="1">
      <c r="A30" s="9"/>
      <c r="B30" s="9"/>
      <c r="C30" s="539"/>
      <c r="D30" s="87">
        <v>8</v>
      </c>
      <c r="E30" s="256">
        <f ca="1">OFFSET('Actual RAB roll forward'!H$13,0,D30-1)-SUM('Actual RAB roll forward'!H66:OFFSET('Actual RAB roll forward'!H66,0,Input!$Y$7-1))</f>
        <v>0</v>
      </c>
      <c r="F30" s="256">
        <f ca="1">IF(A2stdlife="N/A",0,IF(E30=0,0,A2stdlife+D30-Input!$Y$7))</f>
        <v>0</v>
      </c>
      <c r="G30" s="257"/>
      <c r="H30" s="256">
        <f t="shared" ca="1" si="2"/>
        <v>0</v>
      </c>
      <c r="I30" s="256">
        <f t="shared" ca="1" si="2"/>
        <v>0</v>
      </c>
      <c r="J30" s="256">
        <f t="shared" ca="1" si="2"/>
        <v>0</v>
      </c>
      <c r="K30" s="256">
        <f t="shared" ca="1" si="2"/>
        <v>0</v>
      </c>
      <c r="L30" s="256">
        <f t="shared" ca="1" si="2"/>
        <v>0</v>
      </c>
      <c r="M30" s="9"/>
      <c r="N30" s="46"/>
      <c r="O30" s="46"/>
      <c r="P30" s="46"/>
      <c r="Q30" s="46"/>
      <c r="R30" s="46"/>
      <c r="S30" s="46"/>
      <c r="T30" s="46"/>
      <c r="U30" s="46"/>
      <c r="V30" s="46"/>
      <c r="W30" s="46"/>
      <c r="X30" s="46"/>
      <c r="Y30" s="46"/>
    </row>
    <row r="31" spans="1:25" hidden="1" outlineLevel="1">
      <c r="A31" s="9"/>
      <c r="B31" s="9"/>
      <c r="C31" s="539"/>
      <c r="D31" s="87">
        <v>9</v>
      </c>
      <c r="E31" s="256">
        <f ca="1">OFFSET('Actual RAB roll forward'!H$13,0,D31-1)-SUM('Actual RAB roll forward'!H67:OFFSET('Actual RAB roll forward'!H67,0,Input!$Y$7-1))</f>
        <v>0</v>
      </c>
      <c r="F31" s="256">
        <f ca="1">IF(A2stdlife="N/A",0,IF(E31=0,0,A2stdlife+D31-Input!$Y$7))</f>
        <v>0</v>
      </c>
      <c r="G31" s="257"/>
      <c r="H31" s="256">
        <f t="shared" ca="1" si="2"/>
        <v>0</v>
      </c>
      <c r="I31" s="256">
        <f t="shared" ca="1" si="2"/>
        <v>0</v>
      </c>
      <c r="J31" s="256">
        <f t="shared" ca="1" si="2"/>
        <v>0</v>
      </c>
      <c r="K31" s="256">
        <f t="shared" ca="1" si="2"/>
        <v>0</v>
      </c>
      <c r="L31" s="256">
        <f t="shared" ca="1" si="2"/>
        <v>0</v>
      </c>
      <c r="M31" s="9"/>
      <c r="N31" s="46"/>
      <c r="O31" s="46"/>
      <c r="P31" s="46"/>
      <c r="Q31" s="46"/>
      <c r="R31" s="46"/>
      <c r="S31" s="46"/>
      <c r="T31" s="46"/>
      <c r="U31" s="46"/>
      <c r="V31" s="46"/>
      <c r="W31" s="46"/>
      <c r="X31" s="46"/>
      <c r="Y31" s="46"/>
    </row>
    <row r="32" spans="1:25" hidden="1" outlineLevel="1">
      <c r="A32" s="9"/>
      <c r="B32" s="9"/>
      <c r="C32" s="540"/>
      <c r="D32" s="88">
        <v>10</v>
      </c>
      <c r="E32" s="256">
        <f ca="1">OFFSET('Actual RAB roll forward'!H$13,0,D32-1)-SUM('Actual RAB roll forward'!H68:OFFSET('Actual RAB roll forward'!H68,0,Input!$Y$7-1))</f>
        <v>0</v>
      </c>
      <c r="F32" s="256">
        <f ca="1">IF(A2stdlife="N/A",0,IF(E32=0,0,A2stdlife+D32-Input!$Y$7))</f>
        <v>0</v>
      </c>
      <c r="G32" s="257"/>
      <c r="H32" s="256">
        <f t="shared" ca="1" si="2"/>
        <v>0</v>
      </c>
      <c r="I32" s="256">
        <f t="shared" ca="1" si="2"/>
        <v>0</v>
      </c>
      <c r="J32" s="256">
        <f t="shared" ca="1" si="2"/>
        <v>0</v>
      </c>
      <c r="K32" s="256">
        <f t="shared" ca="1" si="2"/>
        <v>0</v>
      </c>
      <c r="L32" s="256">
        <f t="shared" ca="1" si="2"/>
        <v>0</v>
      </c>
      <c r="M32" s="9"/>
      <c r="N32" s="46"/>
      <c r="O32" s="46"/>
      <c r="P32" s="46"/>
      <c r="Q32" s="46"/>
      <c r="R32" s="46"/>
      <c r="S32" s="46"/>
      <c r="T32" s="46"/>
      <c r="U32" s="46"/>
      <c r="V32" s="46"/>
      <c r="W32" s="46"/>
      <c r="X32" s="46"/>
      <c r="Y32" s="46"/>
    </row>
    <row r="33" spans="1:25" collapsed="1">
      <c r="A33" s="9"/>
      <c r="B33" s="9"/>
      <c r="C33" s="112" t="str">
        <f>Asset2</f>
        <v>Distribution system assets</v>
      </c>
      <c r="D33" s="9"/>
      <c r="E33" s="256">
        <f ca="1">SUM(E22:E32)</f>
        <v>1192.745354365177</v>
      </c>
      <c r="F33" s="516">
        <f ca="1">IF(E33=0,0,SUMPRODUCT(E22:E32,F22:F32)/E33)</f>
        <v>26.293343287129822</v>
      </c>
      <c r="G33" s="257"/>
      <c r="H33" s="256">
        <f t="shared" ref="H33:L33" ca="1" si="3">SUM(H22:H32)</f>
        <v>57.253757057023229</v>
      </c>
      <c r="I33" s="256">
        <f t="shared" ca="1" si="3"/>
        <v>57.253757057023229</v>
      </c>
      <c r="J33" s="256">
        <f t="shared" ca="1" si="3"/>
        <v>57.253757057023229</v>
      </c>
      <c r="K33" s="256">
        <f t="shared" ca="1" si="3"/>
        <v>57.253757057023229</v>
      </c>
      <c r="L33" s="256">
        <f t="shared" ca="1" si="3"/>
        <v>57.253757057023229</v>
      </c>
      <c r="M33" s="256">
        <f ca="1">IF(SUM(H33:L33)=0,0,IF(AND(SUM(H33:L33)=E33,A2stdlife="n/a"),A2remlife-Input!$Y$7,E33/(SUM(H33:L33)/COUNTIF(H33:L33,"&gt;0"))))</f>
        <v>20.832612839315228</v>
      </c>
      <c r="N33" s="46"/>
      <c r="O33" s="46"/>
      <c r="P33" s="46"/>
      <c r="Q33" s="46"/>
      <c r="R33" s="46"/>
      <c r="S33" s="46"/>
      <c r="T33" s="46"/>
      <c r="U33" s="46"/>
      <c r="V33" s="46"/>
      <c r="W33" s="46"/>
      <c r="X33" s="46"/>
      <c r="Y33" s="46"/>
    </row>
    <row r="34" spans="1:25" hidden="1" outlineLevel="1">
      <c r="A34" s="9"/>
      <c r="B34" s="9"/>
      <c r="C34" s="112"/>
      <c r="D34" s="9"/>
      <c r="E34" s="256"/>
      <c r="F34" s="256"/>
      <c r="G34" s="257"/>
      <c r="H34" s="256"/>
      <c r="I34" s="256"/>
      <c r="J34" s="256"/>
      <c r="K34" s="256"/>
      <c r="L34" s="256"/>
      <c r="M34" s="9"/>
      <c r="N34" s="46"/>
      <c r="O34" s="46"/>
      <c r="P34" s="46"/>
      <c r="Q34" s="46"/>
      <c r="R34" s="46"/>
      <c r="S34" s="46"/>
      <c r="T34" s="46"/>
      <c r="U34" s="46"/>
      <c r="V34" s="46"/>
      <c r="W34" s="46"/>
      <c r="X34" s="46"/>
      <c r="Y34" s="46"/>
    </row>
    <row r="35" spans="1:25" hidden="1" outlineLevel="1">
      <c r="A35" s="9"/>
      <c r="B35" s="255" t="str">
        <f>Asset3</f>
        <v>Standard metering</v>
      </c>
      <c r="C35" s="263"/>
      <c r="D35" s="12"/>
      <c r="E35" s="261"/>
      <c r="F35" s="256"/>
      <c r="G35" s="257"/>
      <c r="H35" s="256"/>
      <c r="I35" s="256"/>
      <c r="J35" s="256"/>
      <c r="K35" s="256"/>
      <c r="L35" s="256"/>
      <c r="M35" s="9"/>
      <c r="N35" s="46"/>
      <c r="O35" s="46"/>
      <c r="P35" s="46"/>
      <c r="Q35" s="46"/>
      <c r="R35" s="46"/>
      <c r="S35" s="46"/>
      <c r="T35" s="46"/>
      <c r="U35" s="46"/>
      <c r="V35" s="46"/>
      <c r="W35" s="46"/>
      <c r="X35" s="46"/>
      <c r="Y35" s="46"/>
    </row>
    <row r="36" spans="1:25" ht="12.75" hidden="1" customHeight="1" outlineLevel="1">
      <c r="A36" s="9"/>
      <c r="B36" s="9"/>
      <c r="C36" s="541" t="s">
        <v>28</v>
      </c>
      <c r="D36" s="542"/>
      <c r="E36" s="256">
        <f ca="1">A3value-SUM('Actual RAB roll forward'!H70:OFFSET('Actual RAB roll forward'!H70,0,Input!$Y$7-1))</f>
        <v>6.037412261274067</v>
      </c>
      <c r="F36" s="256">
        <f>IF(A3remlife="N/A",0,A3remlife-Input!$Y$7)</f>
        <v>1.0609571852169655</v>
      </c>
      <c r="G36" s="257"/>
      <c r="H36" s="256">
        <f ca="1">IF($F36=0,0,IF($F36-(H$6-$H$6)&lt;0,0,IF($F36-(H$6-$H$6)&lt;1,($F36-ROUNDDOWN($F36,0))*$E36/$F36,$E36/$F36)))</f>
        <v>5.6905333649627128</v>
      </c>
      <c r="I36" s="256">
        <f ca="1">IF($F36=0,0,IF($F36-(I$6-$H$6)&lt;0,0,IF($F36-(I$6-$H$6)&lt;1,($F36-ROUNDDOWN($F36,0))*$E36/$F36,$E36/$F36)))</f>
        <v>0.34687889631135388</v>
      </c>
      <c r="J36" s="256">
        <f>IF($F36=0,0,IF($F36-(J$6-$H$6)&lt;0,0,IF($F36-(J$6-$H$6)&lt;1,($F36-ROUNDDOWN($F36,0))*$E36/$F36,$E36/$F36)))</f>
        <v>0</v>
      </c>
      <c r="K36" s="256">
        <f>IF($F36=0,0,IF($F36-(K$6-$H$6)&lt;0,0,IF($F36-(K$6-$H$6)&lt;1,($F36-ROUNDDOWN($F36,0))*$E36/$F36,$E36/$F36)))</f>
        <v>0</v>
      </c>
      <c r="L36" s="256">
        <f>IF($F36=0,0,IF($F36-(L$6-$H$6)&lt;0,0,IF($F36-(L$6-$H$6)&lt;1,($F36-ROUNDDOWN($F36,0))*$E36/$F36,$E36/$F36)))</f>
        <v>0</v>
      </c>
      <c r="M36" s="9"/>
      <c r="N36" s="46"/>
      <c r="O36" s="46"/>
      <c r="P36" s="46"/>
      <c r="Q36" s="46"/>
      <c r="R36" s="46"/>
      <c r="S36" s="46"/>
      <c r="T36" s="46"/>
      <c r="U36" s="46"/>
      <c r="V36" s="46"/>
      <c r="W36" s="46"/>
      <c r="X36" s="46"/>
      <c r="Y36" s="46"/>
    </row>
    <row r="37" spans="1:25" ht="12.75" hidden="1" customHeight="1" outlineLevel="1">
      <c r="A37" s="9"/>
      <c r="B37" s="9"/>
      <c r="C37" s="538" t="s">
        <v>86</v>
      </c>
      <c r="D37" s="87">
        <v>1</v>
      </c>
      <c r="E37" s="256">
        <f ca="1">OFFSET('Actual RAB roll forward'!H$14,0,D37-1)-SUM('Actual RAB roll forward'!H72:OFFSET('Actual RAB roll forward'!H72,0,Input!$Y$7-1))</f>
        <v>0</v>
      </c>
      <c r="F37" s="256">
        <f>IF(A3stdlife="N/A",0,IF(E37=0,0,A3stdlife+D37-Input!$Y$7))</f>
        <v>0</v>
      </c>
      <c r="G37" s="257"/>
      <c r="H37" s="256">
        <f t="shared" ref="H37:L46" si="4">IF($F37=0,0,IF($F37-(H$6-$H$6)&lt;0,0,IF($F37-(H$6-$H$6)&lt;1,($F37-ROUNDDOWN($F37,0))*$E37/$F37,$E37/$F37)))</f>
        <v>0</v>
      </c>
      <c r="I37" s="256">
        <f t="shared" si="4"/>
        <v>0</v>
      </c>
      <c r="J37" s="256">
        <f t="shared" si="4"/>
        <v>0</v>
      </c>
      <c r="K37" s="256">
        <f t="shared" si="4"/>
        <v>0</v>
      </c>
      <c r="L37" s="256">
        <f t="shared" si="4"/>
        <v>0</v>
      </c>
      <c r="M37" s="9"/>
      <c r="N37" s="46"/>
      <c r="O37" s="46"/>
      <c r="P37" s="46"/>
      <c r="Q37" s="46"/>
      <c r="R37" s="46"/>
      <c r="S37" s="46"/>
      <c r="T37" s="46"/>
      <c r="U37" s="46"/>
      <c r="V37" s="46"/>
      <c r="W37" s="46"/>
      <c r="X37" s="46"/>
      <c r="Y37" s="46"/>
    </row>
    <row r="38" spans="1:25" hidden="1" outlineLevel="1">
      <c r="A38" s="9"/>
      <c r="B38" s="9"/>
      <c r="C38" s="539"/>
      <c r="D38" s="87">
        <v>2</v>
      </c>
      <c r="E38" s="256">
        <f ca="1">OFFSET('Actual RAB roll forward'!H$14,0,D38-1)-SUM('Actual RAB roll forward'!H73:OFFSET('Actual RAB roll forward'!H73,0,Input!$Y$7-1))</f>
        <v>0</v>
      </c>
      <c r="F38" s="256">
        <f>IF(A3stdlife="N/A",0,IF(E38=0,0,A3stdlife+D38-Input!$Y$7))</f>
        <v>0</v>
      </c>
      <c r="G38" s="257"/>
      <c r="H38" s="256">
        <f t="shared" si="4"/>
        <v>0</v>
      </c>
      <c r="I38" s="256">
        <f t="shared" si="4"/>
        <v>0</v>
      </c>
      <c r="J38" s="256">
        <f t="shared" si="4"/>
        <v>0</v>
      </c>
      <c r="K38" s="256">
        <f t="shared" si="4"/>
        <v>0</v>
      </c>
      <c r="L38" s="256">
        <f t="shared" si="4"/>
        <v>0</v>
      </c>
      <c r="M38" s="9"/>
      <c r="N38" s="46"/>
      <c r="O38" s="46"/>
      <c r="P38" s="46"/>
      <c r="Q38" s="46"/>
      <c r="R38" s="46"/>
      <c r="S38" s="46"/>
      <c r="T38" s="46"/>
      <c r="U38" s="46"/>
      <c r="V38" s="46"/>
      <c r="W38" s="46"/>
      <c r="X38" s="46"/>
      <c r="Y38" s="46"/>
    </row>
    <row r="39" spans="1:25" hidden="1" outlineLevel="1">
      <c r="A39" s="9"/>
      <c r="B39" s="9"/>
      <c r="C39" s="539"/>
      <c r="D39" s="87">
        <v>3</v>
      </c>
      <c r="E39" s="256">
        <f ca="1">OFFSET('Actual RAB roll forward'!H$14,0,D39-1)-SUM('Actual RAB roll forward'!H74:OFFSET('Actual RAB roll forward'!H74,0,Input!$Y$7-1))</f>
        <v>0</v>
      </c>
      <c r="F39" s="256">
        <f>IF(A3stdlife="N/A",0,IF(E39=0,0,A3stdlife+D39-Input!$Y$7))</f>
        <v>0</v>
      </c>
      <c r="G39" s="257"/>
      <c r="H39" s="256">
        <f t="shared" si="4"/>
        <v>0</v>
      </c>
      <c r="I39" s="256">
        <f t="shared" si="4"/>
        <v>0</v>
      </c>
      <c r="J39" s="256">
        <f t="shared" si="4"/>
        <v>0</v>
      </c>
      <c r="K39" s="256">
        <f t="shared" si="4"/>
        <v>0</v>
      </c>
      <c r="L39" s="256">
        <f t="shared" si="4"/>
        <v>0</v>
      </c>
      <c r="M39" s="9"/>
      <c r="N39" s="46"/>
      <c r="O39" s="46"/>
      <c r="P39" s="46"/>
      <c r="Q39" s="46"/>
      <c r="R39" s="46"/>
      <c r="S39" s="46"/>
      <c r="T39" s="46"/>
      <c r="U39" s="46"/>
      <c r="V39" s="46"/>
      <c r="W39" s="46"/>
      <c r="X39" s="46"/>
      <c r="Y39" s="46"/>
    </row>
    <row r="40" spans="1:25" hidden="1" outlineLevel="1">
      <c r="A40" s="9"/>
      <c r="B40" s="9"/>
      <c r="C40" s="539"/>
      <c r="D40" s="87">
        <v>4</v>
      </c>
      <c r="E40" s="256">
        <f ca="1">OFFSET('Actual RAB roll forward'!H$14,0,D40-1)-SUM('Actual RAB roll forward'!H75:OFFSET('Actual RAB roll forward'!H75,0,Input!$Y$7-1))</f>
        <v>0</v>
      </c>
      <c r="F40" s="256">
        <f>IF(A3stdlife="N/A",0,IF(E40=0,0,A3stdlife+D40-Input!$Y$7))</f>
        <v>0</v>
      </c>
      <c r="G40" s="257"/>
      <c r="H40" s="256">
        <f t="shared" si="4"/>
        <v>0</v>
      </c>
      <c r="I40" s="256">
        <f t="shared" si="4"/>
        <v>0</v>
      </c>
      <c r="J40" s="256">
        <f t="shared" si="4"/>
        <v>0</v>
      </c>
      <c r="K40" s="256">
        <f t="shared" si="4"/>
        <v>0</v>
      </c>
      <c r="L40" s="256">
        <f t="shared" si="4"/>
        <v>0</v>
      </c>
      <c r="M40" s="9"/>
      <c r="N40" s="46"/>
      <c r="O40" s="46"/>
      <c r="P40" s="46"/>
      <c r="Q40" s="46"/>
      <c r="R40" s="46"/>
      <c r="S40" s="46"/>
      <c r="T40" s="46"/>
      <c r="U40" s="46"/>
      <c r="V40" s="46"/>
      <c r="W40" s="46"/>
      <c r="X40" s="46"/>
      <c r="Y40" s="46"/>
    </row>
    <row r="41" spans="1:25" hidden="1" outlineLevel="1">
      <c r="A41" s="9"/>
      <c r="B41" s="9"/>
      <c r="C41" s="539"/>
      <c r="D41" s="87">
        <v>5</v>
      </c>
      <c r="E41" s="256">
        <f ca="1">OFFSET('Actual RAB roll forward'!H$14,0,D41-1)-SUM('Actual RAB roll forward'!H76:OFFSET('Actual RAB roll forward'!H76,0,Input!$Y$7-1))</f>
        <v>0</v>
      </c>
      <c r="F41" s="256">
        <f>IF(A3stdlife="N/A",0,IF(E41=0,0,A3stdlife+D41-Input!$Y$7))</f>
        <v>0</v>
      </c>
      <c r="G41" s="257"/>
      <c r="H41" s="256">
        <f t="shared" si="4"/>
        <v>0</v>
      </c>
      <c r="I41" s="256">
        <f t="shared" si="4"/>
        <v>0</v>
      </c>
      <c r="J41" s="256">
        <f t="shared" si="4"/>
        <v>0</v>
      </c>
      <c r="K41" s="256">
        <f t="shared" si="4"/>
        <v>0</v>
      </c>
      <c r="L41" s="256">
        <f t="shared" si="4"/>
        <v>0</v>
      </c>
      <c r="M41" s="9"/>
      <c r="N41" s="46"/>
      <c r="O41" s="46"/>
      <c r="P41" s="46"/>
      <c r="Q41" s="46"/>
      <c r="R41" s="46"/>
      <c r="S41" s="46"/>
      <c r="T41" s="46"/>
      <c r="U41" s="46"/>
      <c r="V41" s="46"/>
      <c r="W41" s="46"/>
      <c r="X41" s="46"/>
      <c r="Y41" s="46"/>
    </row>
    <row r="42" spans="1:25" hidden="1" outlineLevel="1">
      <c r="A42" s="9"/>
      <c r="B42" s="9"/>
      <c r="C42" s="539"/>
      <c r="D42" s="87">
        <v>6</v>
      </c>
      <c r="E42" s="256">
        <f ca="1">OFFSET('Actual RAB roll forward'!H$14,0,D42-1)-SUM('Actual RAB roll forward'!H77:OFFSET('Actual RAB roll forward'!H77,0,Input!$Y$7-1))</f>
        <v>0</v>
      </c>
      <c r="F42" s="256">
        <f>IF(A3stdlife="N/A",0,IF(E42=0,0,A3stdlife+D42-Input!$Y$7))</f>
        <v>0</v>
      </c>
      <c r="G42" s="257"/>
      <c r="H42" s="256">
        <f t="shared" si="4"/>
        <v>0</v>
      </c>
      <c r="I42" s="256">
        <f t="shared" si="4"/>
        <v>0</v>
      </c>
      <c r="J42" s="256">
        <f t="shared" si="4"/>
        <v>0</v>
      </c>
      <c r="K42" s="256">
        <f t="shared" si="4"/>
        <v>0</v>
      </c>
      <c r="L42" s="256">
        <f t="shared" si="4"/>
        <v>0</v>
      </c>
      <c r="M42" s="9"/>
      <c r="N42" s="46"/>
      <c r="O42" s="46"/>
      <c r="P42" s="46"/>
      <c r="Q42" s="46"/>
      <c r="R42" s="46"/>
      <c r="S42" s="46"/>
      <c r="T42" s="46"/>
      <c r="U42" s="46"/>
      <c r="V42" s="46"/>
      <c r="W42" s="46"/>
      <c r="X42" s="46"/>
      <c r="Y42" s="46"/>
    </row>
    <row r="43" spans="1:25" hidden="1" outlineLevel="1">
      <c r="A43" s="9"/>
      <c r="B43" s="9"/>
      <c r="C43" s="539"/>
      <c r="D43" s="87">
        <v>7</v>
      </c>
      <c r="E43" s="256">
        <f ca="1">OFFSET('Actual RAB roll forward'!H$14,0,D43-1)-SUM('Actual RAB roll forward'!H78:OFFSET('Actual RAB roll forward'!H78,0,Input!$Y$7-1))</f>
        <v>0</v>
      </c>
      <c r="F43" s="256">
        <f>IF(A3stdlife="N/A",0,IF(E43=0,0,A3stdlife+D43-Input!$Y$7))</f>
        <v>0</v>
      </c>
      <c r="G43" s="257"/>
      <c r="H43" s="256">
        <f t="shared" si="4"/>
        <v>0</v>
      </c>
      <c r="I43" s="256">
        <f t="shared" si="4"/>
        <v>0</v>
      </c>
      <c r="J43" s="256">
        <f t="shared" si="4"/>
        <v>0</v>
      </c>
      <c r="K43" s="256">
        <f t="shared" si="4"/>
        <v>0</v>
      </c>
      <c r="L43" s="256">
        <f t="shared" si="4"/>
        <v>0</v>
      </c>
      <c r="M43" s="9"/>
      <c r="N43" s="46"/>
      <c r="O43" s="46"/>
      <c r="P43" s="46"/>
      <c r="Q43" s="46"/>
      <c r="R43" s="46"/>
      <c r="S43" s="46"/>
      <c r="T43" s="46"/>
      <c r="U43" s="46"/>
      <c r="V43" s="46"/>
      <c r="W43" s="46"/>
      <c r="X43" s="46"/>
      <c r="Y43" s="46"/>
    </row>
    <row r="44" spans="1:25" hidden="1" outlineLevel="1">
      <c r="A44" s="9"/>
      <c r="B44" s="9"/>
      <c r="C44" s="539"/>
      <c r="D44" s="87">
        <v>8</v>
      </c>
      <c r="E44" s="256">
        <f ca="1">OFFSET('Actual RAB roll forward'!H$14,0,D44-1)-SUM('Actual RAB roll forward'!H79:OFFSET('Actual RAB roll forward'!H79,0,Input!$Y$7-1))</f>
        <v>0</v>
      </c>
      <c r="F44" s="256">
        <f>IF(A3stdlife="N/A",0,IF(E44=0,0,A3stdlife+D44-Input!$Y$7))</f>
        <v>0</v>
      </c>
      <c r="G44" s="257"/>
      <c r="H44" s="256">
        <f t="shared" si="4"/>
        <v>0</v>
      </c>
      <c r="I44" s="256">
        <f t="shared" si="4"/>
        <v>0</v>
      </c>
      <c r="J44" s="256">
        <f t="shared" si="4"/>
        <v>0</v>
      </c>
      <c r="K44" s="256">
        <f t="shared" si="4"/>
        <v>0</v>
      </c>
      <c r="L44" s="256">
        <f t="shared" si="4"/>
        <v>0</v>
      </c>
      <c r="M44" s="9"/>
      <c r="N44" s="46"/>
      <c r="O44" s="46"/>
      <c r="P44" s="46"/>
      <c r="Q44" s="46"/>
      <c r="R44" s="46"/>
      <c r="S44" s="46"/>
      <c r="T44" s="46"/>
      <c r="U44" s="46"/>
      <c r="V44" s="46"/>
      <c r="W44" s="46"/>
      <c r="X44" s="46"/>
      <c r="Y44" s="46"/>
    </row>
    <row r="45" spans="1:25" hidden="1" outlineLevel="1">
      <c r="A45" s="9"/>
      <c r="B45" s="9"/>
      <c r="C45" s="539"/>
      <c r="D45" s="87">
        <v>9</v>
      </c>
      <c r="E45" s="256">
        <f ca="1">OFFSET('Actual RAB roll forward'!H$14,0,D45-1)-SUM('Actual RAB roll forward'!H80:OFFSET('Actual RAB roll forward'!H80,0,Input!$Y$7-1))</f>
        <v>0</v>
      </c>
      <c r="F45" s="256">
        <f>IF(A3stdlife="N/A",0,IF(E45=0,0,A3stdlife+D45-Input!$Y$7))</f>
        <v>0</v>
      </c>
      <c r="G45" s="257"/>
      <c r="H45" s="256">
        <f t="shared" si="4"/>
        <v>0</v>
      </c>
      <c r="I45" s="256">
        <f t="shared" si="4"/>
        <v>0</v>
      </c>
      <c r="J45" s="256">
        <f t="shared" si="4"/>
        <v>0</v>
      </c>
      <c r="K45" s="256">
        <f t="shared" si="4"/>
        <v>0</v>
      </c>
      <c r="L45" s="256">
        <f t="shared" si="4"/>
        <v>0</v>
      </c>
      <c r="M45" s="9"/>
      <c r="N45" s="46"/>
      <c r="O45" s="46"/>
      <c r="P45" s="46"/>
      <c r="Q45" s="46"/>
      <c r="R45" s="46"/>
      <c r="S45" s="46"/>
      <c r="T45" s="46"/>
      <c r="U45" s="46"/>
      <c r="V45" s="46"/>
      <c r="W45" s="46"/>
      <c r="X45" s="46"/>
      <c r="Y45" s="46"/>
    </row>
    <row r="46" spans="1:25" hidden="1" outlineLevel="1">
      <c r="A46" s="9"/>
      <c r="B46" s="9"/>
      <c r="C46" s="540"/>
      <c r="D46" s="88">
        <v>10</v>
      </c>
      <c r="E46" s="256">
        <f ca="1">OFFSET('Actual RAB roll forward'!H$14,0,D46-1)-SUM('Actual RAB roll forward'!H81:OFFSET('Actual RAB roll forward'!H81,0,Input!$Y$7-1))</f>
        <v>0</v>
      </c>
      <c r="F46" s="256">
        <f>IF(A3stdlife="N/A",0,IF(E46=0,0,A3stdlife+D46-Input!$Y$7))</f>
        <v>0</v>
      </c>
      <c r="G46" s="257"/>
      <c r="H46" s="256">
        <f t="shared" si="4"/>
        <v>0</v>
      </c>
      <c r="I46" s="256">
        <f t="shared" si="4"/>
        <v>0</v>
      </c>
      <c r="J46" s="256">
        <f t="shared" si="4"/>
        <v>0</v>
      </c>
      <c r="K46" s="256">
        <f t="shared" si="4"/>
        <v>0</v>
      </c>
      <c r="L46" s="256">
        <f t="shared" si="4"/>
        <v>0</v>
      </c>
      <c r="M46" s="9"/>
      <c r="N46" s="46"/>
      <c r="O46" s="46"/>
      <c r="P46" s="46"/>
      <c r="Q46" s="46"/>
      <c r="R46" s="46"/>
      <c r="S46" s="46"/>
      <c r="T46" s="46"/>
      <c r="U46" s="46"/>
      <c r="V46" s="46"/>
      <c r="W46" s="46"/>
      <c r="X46" s="46"/>
      <c r="Y46" s="46"/>
    </row>
    <row r="47" spans="1:25" collapsed="1">
      <c r="A47" s="9"/>
      <c r="B47" s="9"/>
      <c r="C47" s="112" t="str">
        <f>Asset3</f>
        <v>Standard metering</v>
      </c>
      <c r="D47" s="9"/>
      <c r="E47" s="256">
        <f ca="1">SUM(E36:E46)</f>
        <v>6.037412261274067</v>
      </c>
      <c r="F47" s="516">
        <f ca="1">IF(E47=0,0,SUMPRODUCT(E36:E46,F36:F46)/E47)</f>
        <v>1.0609571852169655</v>
      </c>
      <c r="G47" s="257"/>
      <c r="H47" s="256">
        <f t="shared" ref="H47:L47" ca="1" si="5">SUM(H36:H46)</f>
        <v>5.6905333649627128</v>
      </c>
      <c r="I47" s="256">
        <f t="shared" ca="1" si="5"/>
        <v>0.34687889631135388</v>
      </c>
      <c r="J47" s="256">
        <f t="shared" si="5"/>
        <v>0</v>
      </c>
      <c r="K47" s="256">
        <f t="shared" si="5"/>
        <v>0</v>
      </c>
      <c r="L47" s="256">
        <f t="shared" si="5"/>
        <v>0</v>
      </c>
      <c r="M47" s="256">
        <f ca="1">IF(SUM(H47:L47)=0,0,IF(AND(SUM(H47:L47)=E47,A3stdlife="n/a"),A3remlife-Input!$Y$7,E47/(SUM(H47:L47)/COUNTIF(H47:L47,"&gt;0"))))</f>
        <v>1.0609571852169655</v>
      </c>
      <c r="N47" s="46"/>
      <c r="O47" s="46"/>
      <c r="P47" s="46"/>
      <c r="Q47" s="46"/>
      <c r="R47" s="46"/>
      <c r="S47" s="46"/>
      <c r="T47" s="46"/>
      <c r="U47" s="46"/>
      <c r="V47" s="46"/>
      <c r="W47" s="46"/>
      <c r="X47" s="46"/>
      <c r="Y47" s="46"/>
    </row>
    <row r="48" spans="1:25" hidden="1" outlineLevel="1">
      <c r="A48" s="9"/>
      <c r="B48" s="9"/>
      <c r="C48" s="112"/>
      <c r="D48" s="9"/>
      <c r="E48" s="256"/>
      <c r="F48" s="256"/>
      <c r="G48" s="257"/>
      <c r="H48" s="256"/>
      <c r="I48" s="256"/>
      <c r="J48" s="256"/>
      <c r="K48" s="256"/>
      <c r="L48" s="256"/>
      <c r="M48" s="9"/>
      <c r="N48" s="9"/>
      <c r="O48" s="9"/>
      <c r="P48" s="9"/>
      <c r="Q48" s="9"/>
      <c r="R48" s="46"/>
      <c r="S48" s="46"/>
      <c r="T48" s="46"/>
      <c r="U48" s="46"/>
      <c r="V48" s="46"/>
      <c r="W48" s="46"/>
      <c r="X48" s="46"/>
      <c r="Y48" s="46"/>
    </row>
    <row r="49" spans="1:25" hidden="1" outlineLevel="1">
      <c r="A49" s="9"/>
      <c r="B49" s="255" t="str">
        <f>Asset4</f>
        <v>Public lighting</v>
      </c>
      <c r="C49" s="9"/>
      <c r="D49" s="9"/>
      <c r="E49" s="256"/>
      <c r="F49" s="256"/>
      <c r="G49" s="257"/>
      <c r="H49" s="256"/>
      <c r="I49" s="256"/>
      <c r="J49" s="256"/>
      <c r="K49" s="256"/>
      <c r="L49" s="256"/>
      <c r="M49" s="9"/>
      <c r="N49" s="9"/>
      <c r="O49" s="9"/>
      <c r="P49" s="9"/>
      <c r="Q49" s="9"/>
      <c r="R49" s="46"/>
      <c r="S49" s="46"/>
      <c r="T49" s="46"/>
      <c r="U49" s="46"/>
      <c r="V49" s="46"/>
      <c r="W49" s="46"/>
      <c r="X49" s="46"/>
      <c r="Y49" s="46"/>
    </row>
    <row r="50" spans="1:25" ht="12.75" hidden="1" customHeight="1" outlineLevel="1">
      <c r="A50" s="9"/>
      <c r="B50" s="9"/>
      <c r="C50" s="543" t="s">
        <v>28</v>
      </c>
      <c r="D50" s="544"/>
      <c r="E50" s="256">
        <f ca="1">A4value-SUM('Actual RAB roll forward'!H83:OFFSET('Actual RAB roll forward'!H83,0,Input!$Y$7-1))</f>
        <v>6.3203174262102388</v>
      </c>
      <c r="F50" s="256">
        <f>IF(A4remlife="N/A",0,A4remlife-Input!$Y$7)</f>
        <v>8.2652175220605777</v>
      </c>
      <c r="G50" s="257"/>
      <c r="H50" s="256">
        <f ca="1">IF($F50=0,0,IF($F50-(H$6-$H$6)&lt;0,0,IF($F50-(H$6-$H$6)&lt;1,($F50-ROUNDDOWN($F50,0))*$E50/$F50,$E50/$F50)))</f>
        <v>0.76468857708109517</v>
      </c>
      <c r="I50" s="256">
        <f ca="1">IF($F50=0,0,IF($F50-(I$6-$H$6)&lt;0,0,IF($F50-(I$6-$H$6)&lt;1,($F50-ROUNDDOWN($F50,0))*$E50/$F50,$E50/$F50)))</f>
        <v>0.76468857708109517</v>
      </c>
      <c r="J50" s="256">
        <f ca="1">IF($F50=0,0,IF($F50-(J$6-$H$6)&lt;0,0,IF($F50-(J$6-$H$6)&lt;1,($F50-ROUNDDOWN($F50,0))*$E50/$F50,$E50/$F50)))</f>
        <v>0.76468857708109517</v>
      </c>
      <c r="K50" s="256">
        <f ca="1">IF($F50=0,0,IF($F50-(K$6-$H$6)&lt;0,0,IF($F50-(K$6-$H$6)&lt;1,($F50-ROUNDDOWN($F50,0))*$E50/$F50,$E50/$F50)))</f>
        <v>0.76468857708109517</v>
      </c>
      <c r="L50" s="256">
        <f ca="1">IF($F50=0,0,IF($F50-(L$6-$H$6)&lt;0,0,IF($F50-(L$6-$H$6)&lt;1,($F50-ROUNDDOWN($F50,0))*$E50/$F50,$E50/$F50)))</f>
        <v>0.76468857708109517</v>
      </c>
      <c r="M50" s="9"/>
      <c r="N50" s="9"/>
      <c r="O50" s="9"/>
      <c r="P50" s="9"/>
      <c r="Q50" s="9"/>
      <c r="R50" s="46"/>
      <c r="S50" s="46"/>
      <c r="T50" s="46"/>
      <c r="U50" s="46"/>
      <c r="V50" s="46"/>
      <c r="W50" s="46"/>
      <c r="X50" s="46"/>
      <c r="Y50" s="46"/>
    </row>
    <row r="51" spans="1:25" ht="12.75" hidden="1" customHeight="1" outlineLevel="1">
      <c r="A51" s="9"/>
      <c r="B51" s="9"/>
      <c r="C51" s="538" t="s">
        <v>86</v>
      </c>
      <c r="D51" s="87">
        <v>1</v>
      </c>
      <c r="E51" s="256">
        <f ca="1">OFFSET('Actual RAB roll forward'!H$15,0,D51-1)-SUM('Actual RAB roll forward'!H85:OFFSET('Actual RAB roll forward'!H85,0,Input!$Y$7-1))</f>
        <v>0</v>
      </c>
      <c r="F51" s="256">
        <f>IF(A4stdlife="N/A",0,IF(E51=0,0,A4stdlife+D51-Input!$Y$7))</f>
        <v>0</v>
      </c>
      <c r="G51" s="257"/>
      <c r="H51" s="256">
        <f t="shared" ref="H51:L60" si="6">IF($F51=0,0,IF($F51-(H$6-$H$6)&lt;0,0,IF($F51-(H$6-$H$6)&lt;1,($F51-ROUNDDOWN($F51,0))*$E51/$F51,$E51/$F51)))</f>
        <v>0</v>
      </c>
      <c r="I51" s="256">
        <f t="shared" si="6"/>
        <v>0</v>
      </c>
      <c r="J51" s="256">
        <f t="shared" si="6"/>
        <v>0</v>
      </c>
      <c r="K51" s="256">
        <f t="shared" si="6"/>
        <v>0</v>
      </c>
      <c r="L51" s="256">
        <f t="shared" si="6"/>
        <v>0</v>
      </c>
      <c r="M51" s="9"/>
      <c r="N51" s="9"/>
      <c r="O51" s="9"/>
      <c r="P51" s="9"/>
      <c r="Q51" s="9"/>
      <c r="R51" s="46"/>
      <c r="S51" s="46"/>
      <c r="T51" s="46"/>
      <c r="U51" s="46"/>
      <c r="V51" s="46"/>
      <c r="W51" s="46"/>
      <c r="X51" s="46"/>
      <c r="Y51" s="46"/>
    </row>
    <row r="52" spans="1:25" hidden="1" outlineLevel="1">
      <c r="A52" s="9"/>
      <c r="B52" s="9"/>
      <c r="C52" s="539"/>
      <c r="D52" s="87">
        <v>2</v>
      </c>
      <c r="E52" s="256">
        <f ca="1">OFFSET('Actual RAB roll forward'!H$15,0,D52-1)-SUM('Actual RAB roll forward'!H86:OFFSET('Actual RAB roll forward'!H86,0,Input!$Y$7-1))</f>
        <v>0</v>
      </c>
      <c r="F52" s="256">
        <f>IF(A4stdlife="N/A",0,IF(E52=0,0,A4stdlife+D52-Input!$Y$7))</f>
        <v>0</v>
      </c>
      <c r="G52" s="257"/>
      <c r="H52" s="256">
        <f t="shared" si="6"/>
        <v>0</v>
      </c>
      <c r="I52" s="256">
        <f t="shared" si="6"/>
        <v>0</v>
      </c>
      <c r="J52" s="256">
        <f t="shared" si="6"/>
        <v>0</v>
      </c>
      <c r="K52" s="256">
        <f t="shared" si="6"/>
        <v>0</v>
      </c>
      <c r="L52" s="256">
        <f t="shared" si="6"/>
        <v>0</v>
      </c>
      <c r="M52" s="9"/>
      <c r="N52" s="9"/>
      <c r="O52" s="9"/>
      <c r="P52" s="9"/>
      <c r="Q52" s="9"/>
      <c r="R52" s="46"/>
      <c r="S52" s="46"/>
      <c r="T52" s="46"/>
      <c r="U52" s="46"/>
      <c r="V52" s="46"/>
      <c r="W52" s="46"/>
      <c r="X52" s="46"/>
      <c r="Y52" s="46"/>
    </row>
    <row r="53" spans="1:25" hidden="1" outlineLevel="1">
      <c r="A53" s="9"/>
      <c r="B53" s="9"/>
      <c r="C53" s="539"/>
      <c r="D53" s="87">
        <v>3</v>
      </c>
      <c r="E53" s="256">
        <f ca="1">OFFSET('Actual RAB roll forward'!H$15,0,D53-1)-SUM('Actual RAB roll forward'!H87:OFFSET('Actual RAB roll forward'!H87,0,Input!$Y$7-1))</f>
        <v>0</v>
      </c>
      <c r="F53" s="256">
        <f>IF(A4stdlife="N/A",0,IF(E53=0,0,A4stdlife+D53-Input!$Y$7))</f>
        <v>0</v>
      </c>
      <c r="G53" s="257"/>
      <c r="H53" s="256">
        <f t="shared" si="6"/>
        <v>0</v>
      </c>
      <c r="I53" s="256">
        <f t="shared" si="6"/>
        <v>0</v>
      </c>
      <c r="J53" s="256">
        <f t="shared" si="6"/>
        <v>0</v>
      </c>
      <c r="K53" s="256">
        <f t="shared" si="6"/>
        <v>0</v>
      </c>
      <c r="L53" s="256">
        <f t="shared" si="6"/>
        <v>0</v>
      </c>
      <c r="M53" s="9"/>
      <c r="N53" s="9"/>
      <c r="O53" s="9"/>
      <c r="P53" s="9"/>
      <c r="Q53" s="9"/>
      <c r="R53" s="46"/>
      <c r="S53" s="46"/>
      <c r="T53" s="46"/>
      <c r="U53" s="46"/>
      <c r="V53" s="46"/>
      <c r="W53" s="46"/>
      <c r="X53" s="46"/>
      <c r="Y53" s="46"/>
    </row>
    <row r="54" spans="1:25" hidden="1" outlineLevel="1">
      <c r="A54" s="9"/>
      <c r="B54" s="9"/>
      <c r="C54" s="539"/>
      <c r="D54" s="87">
        <v>4</v>
      </c>
      <c r="E54" s="256">
        <f ca="1">OFFSET('Actual RAB roll forward'!H$15,0,D54-1)-SUM('Actual RAB roll forward'!H88:OFFSET('Actual RAB roll forward'!H88,0,Input!$Y$7-1))</f>
        <v>0</v>
      </c>
      <c r="F54" s="256">
        <f>IF(A4stdlife="N/A",0,IF(E54=0,0,A4stdlife+D54-Input!$Y$7))</f>
        <v>0</v>
      </c>
      <c r="G54" s="257"/>
      <c r="H54" s="256">
        <f t="shared" si="6"/>
        <v>0</v>
      </c>
      <c r="I54" s="256">
        <f t="shared" si="6"/>
        <v>0</v>
      </c>
      <c r="J54" s="256">
        <f t="shared" si="6"/>
        <v>0</v>
      </c>
      <c r="K54" s="256">
        <f t="shared" si="6"/>
        <v>0</v>
      </c>
      <c r="L54" s="256">
        <f t="shared" si="6"/>
        <v>0</v>
      </c>
      <c r="M54" s="9"/>
      <c r="N54" s="9"/>
      <c r="O54" s="9"/>
      <c r="P54" s="9"/>
      <c r="Q54" s="9"/>
      <c r="R54" s="46"/>
      <c r="S54" s="46"/>
      <c r="T54" s="46"/>
      <c r="U54" s="46"/>
      <c r="V54" s="46"/>
      <c r="W54" s="46"/>
      <c r="X54" s="46"/>
      <c r="Y54" s="46"/>
    </row>
    <row r="55" spans="1:25" hidden="1" outlineLevel="1">
      <c r="A55" s="9"/>
      <c r="B55" s="9"/>
      <c r="C55" s="539"/>
      <c r="D55" s="87">
        <v>5</v>
      </c>
      <c r="E55" s="256">
        <f ca="1">OFFSET('Actual RAB roll forward'!H$15,0,D55-1)-SUM('Actual RAB roll forward'!H89:OFFSET('Actual RAB roll forward'!H89,0,Input!$Y$7-1))</f>
        <v>0</v>
      </c>
      <c r="F55" s="256">
        <f>IF(A4stdlife="N/A",0,IF(E55=0,0,A4stdlife+D55-Input!$Y$7))</f>
        <v>0</v>
      </c>
      <c r="G55" s="257"/>
      <c r="H55" s="256">
        <f t="shared" si="6"/>
        <v>0</v>
      </c>
      <c r="I55" s="256">
        <f t="shared" si="6"/>
        <v>0</v>
      </c>
      <c r="J55" s="256">
        <f t="shared" si="6"/>
        <v>0</v>
      </c>
      <c r="K55" s="256">
        <f t="shared" si="6"/>
        <v>0</v>
      </c>
      <c r="L55" s="256">
        <f t="shared" si="6"/>
        <v>0</v>
      </c>
      <c r="M55" s="9"/>
      <c r="N55" s="9"/>
      <c r="O55" s="9"/>
      <c r="P55" s="9"/>
      <c r="Q55" s="9"/>
      <c r="R55" s="46"/>
      <c r="S55" s="46"/>
      <c r="T55" s="46"/>
      <c r="U55" s="46"/>
      <c r="V55" s="46"/>
      <c r="W55" s="46"/>
      <c r="X55" s="46"/>
      <c r="Y55" s="46"/>
    </row>
    <row r="56" spans="1:25" hidden="1" outlineLevel="1">
      <c r="A56" s="9"/>
      <c r="B56" s="9"/>
      <c r="C56" s="539"/>
      <c r="D56" s="87">
        <v>6</v>
      </c>
      <c r="E56" s="256">
        <f ca="1">OFFSET('Actual RAB roll forward'!H$15,0,D56-1)-SUM('Actual RAB roll forward'!H90:OFFSET('Actual RAB roll forward'!H90,0,Input!$Y$7-1))</f>
        <v>0</v>
      </c>
      <c r="F56" s="256">
        <f>IF(A4stdlife="N/A",0,IF(E56=0,0,A4stdlife+D56-Input!$Y$7))</f>
        <v>0</v>
      </c>
      <c r="G56" s="257"/>
      <c r="H56" s="256">
        <f t="shared" si="6"/>
        <v>0</v>
      </c>
      <c r="I56" s="256">
        <f t="shared" si="6"/>
        <v>0</v>
      </c>
      <c r="J56" s="256">
        <f t="shared" si="6"/>
        <v>0</v>
      </c>
      <c r="K56" s="256">
        <f t="shared" si="6"/>
        <v>0</v>
      </c>
      <c r="L56" s="256">
        <f t="shared" si="6"/>
        <v>0</v>
      </c>
      <c r="M56" s="9"/>
      <c r="N56" s="9"/>
      <c r="O56" s="9"/>
      <c r="P56" s="9"/>
      <c r="Q56" s="9"/>
      <c r="R56" s="46"/>
      <c r="S56" s="46"/>
      <c r="T56" s="46"/>
      <c r="U56" s="46"/>
      <c r="V56" s="46"/>
      <c r="W56" s="46"/>
      <c r="X56" s="46"/>
      <c r="Y56" s="46"/>
    </row>
    <row r="57" spans="1:25" hidden="1" outlineLevel="1">
      <c r="A57" s="9"/>
      <c r="B57" s="9"/>
      <c r="C57" s="539"/>
      <c r="D57" s="87">
        <v>7</v>
      </c>
      <c r="E57" s="256">
        <f ca="1">OFFSET('Actual RAB roll forward'!H$15,0,D57-1)-SUM('Actual RAB roll forward'!H91:OFFSET('Actual RAB roll forward'!H91,0,Input!$Y$7-1))</f>
        <v>0</v>
      </c>
      <c r="F57" s="256">
        <f>IF(A4stdlife="N/A",0,IF(E57=0,0,A4stdlife+D57-Input!$Y$7))</f>
        <v>0</v>
      </c>
      <c r="G57" s="257"/>
      <c r="H57" s="256">
        <f t="shared" si="6"/>
        <v>0</v>
      </c>
      <c r="I57" s="256">
        <f t="shared" si="6"/>
        <v>0</v>
      </c>
      <c r="J57" s="256">
        <f t="shared" si="6"/>
        <v>0</v>
      </c>
      <c r="K57" s="256">
        <f t="shared" si="6"/>
        <v>0</v>
      </c>
      <c r="L57" s="256">
        <f t="shared" si="6"/>
        <v>0</v>
      </c>
      <c r="M57" s="9"/>
      <c r="N57" s="9"/>
      <c r="O57" s="9"/>
      <c r="P57" s="9"/>
      <c r="Q57" s="9"/>
      <c r="R57" s="46"/>
      <c r="S57" s="46"/>
      <c r="T57" s="46"/>
      <c r="U57" s="46"/>
      <c r="V57" s="46"/>
      <c r="W57" s="46"/>
      <c r="X57" s="46"/>
      <c r="Y57" s="46"/>
    </row>
    <row r="58" spans="1:25" hidden="1" outlineLevel="1">
      <c r="A58" s="9"/>
      <c r="B58" s="9"/>
      <c r="C58" s="539"/>
      <c r="D58" s="87">
        <v>8</v>
      </c>
      <c r="E58" s="256">
        <f ca="1">OFFSET('Actual RAB roll forward'!H$15,0,D58-1)-SUM('Actual RAB roll forward'!H92:OFFSET('Actual RAB roll forward'!H92,0,Input!$Y$7-1))</f>
        <v>0</v>
      </c>
      <c r="F58" s="256">
        <f>IF(A4stdlife="N/A",0,IF(E58=0,0,A4stdlife+D58-Input!$Y$7))</f>
        <v>0</v>
      </c>
      <c r="G58" s="257"/>
      <c r="H58" s="256">
        <f t="shared" si="6"/>
        <v>0</v>
      </c>
      <c r="I58" s="256">
        <f t="shared" si="6"/>
        <v>0</v>
      </c>
      <c r="J58" s="256">
        <f t="shared" si="6"/>
        <v>0</v>
      </c>
      <c r="K58" s="256">
        <f t="shared" si="6"/>
        <v>0</v>
      </c>
      <c r="L58" s="256">
        <f t="shared" si="6"/>
        <v>0</v>
      </c>
      <c r="M58" s="9"/>
      <c r="N58" s="9"/>
      <c r="O58" s="9"/>
      <c r="P58" s="9"/>
      <c r="Q58" s="9"/>
      <c r="R58" s="46"/>
      <c r="S58" s="46"/>
      <c r="T58" s="46"/>
      <c r="U58" s="46"/>
      <c r="V58" s="46"/>
      <c r="W58" s="46"/>
      <c r="X58" s="46"/>
      <c r="Y58" s="46"/>
    </row>
    <row r="59" spans="1:25" hidden="1" outlineLevel="1">
      <c r="A59" s="9"/>
      <c r="B59" s="9"/>
      <c r="C59" s="539"/>
      <c r="D59" s="87">
        <v>9</v>
      </c>
      <c r="E59" s="256">
        <f ca="1">OFFSET('Actual RAB roll forward'!H$15,0,D59-1)-SUM('Actual RAB roll forward'!H93:OFFSET('Actual RAB roll forward'!H93,0,Input!$Y$7-1))</f>
        <v>0</v>
      </c>
      <c r="F59" s="256">
        <f>IF(A4stdlife="N/A",0,IF(E59=0,0,A4stdlife+D59-Input!$Y$7))</f>
        <v>0</v>
      </c>
      <c r="G59" s="257"/>
      <c r="H59" s="256">
        <f t="shared" si="6"/>
        <v>0</v>
      </c>
      <c r="I59" s="256">
        <f t="shared" si="6"/>
        <v>0</v>
      </c>
      <c r="J59" s="256">
        <f t="shared" si="6"/>
        <v>0</v>
      </c>
      <c r="K59" s="256">
        <f t="shared" si="6"/>
        <v>0</v>
      </c>
      <c r="L59" s="256">
        <f t="shared" si="6"/>
        <v>0</v>
      </c>
      <c r="M59" s="9"/>
      <c r="N59" s="9"/>
      <c r="O59" s="9"/>
      <c r="P59" s="9"/>
      <c r="Q59" s="9"/>
      <c r="R59" s="46"/>
      <c r="S59" s="46"/>
      <c r="T59" s="46"/>
      <c r="U59" s="46"/>
      <c r="V59" s="46"/>
      <c r="W59" s="46"/>
      <c r="X59" s="46"/>
      <c r="Y59" s="46"/>
    </row>
    <row r="60" spans="1:25" hidden="1" outlineLevel="1">
      <c r="A60" s="9"/>
      <c r="B60" s="9"/>
      <c r="C60" s="540"/>
      <c r="D60" s="88">
        <v>10</v>
      </c>
      <c r="E60" s="256">
        <f ca="1">OFFSET('Actual RAB roll forward'!H$15,0,D60-1)-SUM('Actual RAB roll forward'!H94:OFFSET('Actual RAB roll forward'!H94,0,Input!$Y$7-1))</f>
        <v>0</v>
      </c>
      <c r="F60" s="256">
        <f>IF(A4stdlife="N/A",0,IF(E60=0,0,A4stdlife+D60-Input!$Y$7))</f>
        <v>0</v>
      </c>
      <c r="G60" s="257"/>
      <c r="H60" s="256">
        <f t="shared" si="6"/>
        <v>0</v>
      </c>
      <c r="I60" s="256">
        <f t="shared" si="6"/>
        <v>0</v>
      </c>
      <c r="J60" s="256">
        <f t="shared" si="6"/>
        <v>0</v>
      </c>
      <c r="K60" s="256">
        <f t="shared" si="6"/>
        <v>0</v>
      </c>
      <c r="L60" s="256">
        <f t="shared" si="6"/>
        <v>0</v>
      </c>
      <c r="M60" s="9"/>
      <c r="N60" s="9"/>
      <c r="O60" s="9"/>
      <c r="P60" s="9"/>
      <c r="Q60" s="9"/>
      <c r="R60" s="46"/>
      <c r="S60" s="46"/>
      <c r="T60" s="46"/>
      <c r="U60" s="46"/>
      <c r="V60" s="46"/>
      <c r="W60" s="46"/>
      <c r="X60" s="46"/>
      <c r="Y60" s="46"/>
    </row>
    <row r="61" spans="1:25" collapsed="1">
      <c r="A61" s="9"/>
      <c r="B61" s="9"/>
      <c r="C61" s="264" t="str">
        <f>Asset4</f>
        <v>Public lighting</v>
      </c>
      <c r="D61" s="9"/>
      <c r="E61" s="256">
        <f ca="1">SUM(E50:E60)</f>
        <v>6.3203174262102388</v>
      </c>
      <c r="F61" s="516">
        <f ca="1">IF(E61=0,0,SUMPRODUCT(E50:E60,F50:F60)/E61)</f>
        <v>8.2652175220605777</v>
      </c>
      <c r="G61" s="257"/>
      <c r="H61" s="256">
        <f t="shared" ref="H61:L61" ca="1" si="7">SUM(H50:H60)</f>
        <v>0.76468857708109517</v>
      </c>
      <c r="I61" s="256">
        <f t="shared" ca="1" si="7"/>
        <v>0.76468857708109517</v>
      </c>
      <c r="J61" s="256">
        <f t="shared" ca="1" si="7"/>
        <v>0.76468857708109517</v>
      </c>
      <c r="K61" s="256">
        <f t="shared" ca="1" si="7"/>
        <v>0.76468857708109517</v>
      </c>
      <c r="L61" s="256">
        <f t="shared" ca="1" si="7"/>
        <v>0.76468857708109517</v>
      </c>
      <c r="M61" s="256">
        <f ca="1">IF(SUM(H61:L61)=0,0,IF(AND(SUM(H61:L61)=E61,A4stdlife="n/a"),A4remlife-Input!$Y$7,E61/(SUM(H61:L61)/COUNTIF(H61:L61,"&gt;0"))))</f>
        <v>8.2652175220605777</v>
      </c>
      <c r="N61" s="9"/>
      <c r="O61" s="9"/>
      <c r="P61" s="9"/>
      <c r="Q61" s="9"/>
      <c r="R61" s="46"/>
      <c r="S61" s="46"/>
      <c r="T61" s="46"/>
      <c r="U61" s="46"/>
      <c r="V61" s="46"/>
      <c r="W61" s="46"/>
      <c r="X61" s="46"/>
      <c r="Y61" s="46"/>
    </row>
    <row r="62" spans="1:25" hidden="1" outlineLevel="1">
      <c r="A62" s="9"/>
      <c r="B62" s="9"/>
      <c r="C62" s="264"/>
      <c r="D62" s="9"/>
      <c r="E62" s="256"/>
      <c r="F62" s="256"/>
      <c r="G62" s="257"/>
      <c r="H62" s="256"/>
      <c r="I62" s="256"/>
      <c r="J62" s="256"/>
      <c r="K62" s="256"/>
      <c r="L62" s="256"/>
      <c r="M62" s="9"/>
      <c r="N62" s="9"/>
      <c r="O62" s="9"/>
      <c r="P62" s="9"/>
      <c r="Q62" s="9"/>
      <c r="R62" s="46"/>
      <c r="S62" s="46"/>
      <c r="T62" s="46"/>
      <c r="U62" s="46"/>
      <c r="V62" s="46"/>
      <c r="W62" s="46"/>
      <c r="X62" s="46"/>
      <c r="Y62" s="46"/>
    </row>
    <row r="63" spans="1:25" hidden="1" outlineLevel="1">
      <c r="A63" s="9"/>
      <c r="B63" s="255" t="str">
        <f>Asset5</f>
        <v>SCADA/Network control</v>
      </c>
      <c r="C63" s="9"/>
      <c r="D63" s="9"/>
      <c r="E63" s="256"/>
      <c r="F63" s="256"/>
      <c r="G63" s="257"/>
      <c r="H63" s="256"/>
      <c r="I63" s="256"/>
      <c r="J63" s="256"/>
      <c r="K63" s="256"/>
      <c r="L63" s="256"/>
      <c r="M63" s="9"/>
      <c r="N63" s="9"/>
      <c r="O63" s="9"/>
      <c r="P63" s="9"/>
      <c r="Q63" s="9"/>
      <c r="R63" s="46"/>
      <c r="S63" s="46"/>
      <c r="T63" s="46"/>
      <c r="U63" s="46"/>
      <c r="V63" s="46"/>
      <c r="W63" s="46"/>
      <c r="X63" s="46"/>
      <c r="Y63" s="46"/>
    </row>
    <row r="64" spans="1:25" ht="12.75" hidden="1" customHeight="1" outlineLevel="1">
      <c r="A64" s="9"/>
      <c r="B64" s="9"/>
      <c r="C64" s="543" t="s">
        <v>28</v>
      </c>
      <c r="D64" s="544"/>
      <c r="E64" s="256">
        <f ca="1">A5value-SUM('Actual RAB roll forward'!H96:OFFSET('Actual RAB roll forward'!H96,0,Input!$Y$7-1))</f>
        <v>5.424118413276247</v>
      </c>
      <c r="F64" s="256">
        <f>IF(A5remlife="N/A",0,A5remlife-Input!$Y$7)</f>
        <v>2.6571160185337481</v>
      </c>
      <c r="G64" s="257"/>
      <c r="H64" s="256">
        <f ca="1">IF($F64=0,0,IF($F64-(H$6-$H$6)&lt;0,0,IF($F64-(H$6-$H$6)&lt;1,($F64-ROUNDDOWN($F64,0))*$E64/$F64,$E64/$F64)))</f>
        <v>2.0413555055339239</v>
      </c>
      <c r="I64" s="256">
        <f ca="1">IF($F64=0,0,IF($F64-(I$6-$H$6)&lt;0,0,IF($F64-(I$6-$H$6)&lt;1,($F64-ROUNDDOWN($F64,0))*$E64/$F64,$E64/$F64)))</f>
        <v>2.0413555055339239</v>
      </c>
      <c r="J64" s="256">
        <f ca="1">IF($F64=0,0,IF($F64-(J$6-$H$6)&lt;0,0,IF($F64-(J$6-$H$6)&lt;1,($F64-ROUNDDOWN($F64,0))*$E64/$F64,$E64/$F64)))</f>
        <v>1.3414074022083988</v>
      </c>
      <c r="K64" s="256">
        <f>IF($F64=0,0,IF($F64-(K$6-$H$6)&lt;0,0,IF($F64-(K$6-$H$6)&lt;1,($F64-ROUNDDOWN($F64,0))*$E64/$F64,$E64/$F64)))</f>
        <v>0</v>
      </c>
      <c r="L64" s="256">
        <f>IF($F64=0,0,IF($F64-(L$6-$H$6)&lt;0,0,IF($F64-(L$6-$H$6)&lt;1,($F64-ROUNDDOWN($F64,0))*$E64/$F64,$E64/$F64)))</f>
        <v>0</v>
      </c>
      <c r="M64" s="9"/>
      <c r="N64" s="9"/>
      <c r="O64" s="9"/>
      <c r="P64" s="9"/>
      <c r="Q64" s="9"/>
      <c r="R64" s="46"/>
      <c r="S64" s="46"/>
      <c r="T64" s="46"/>
      <c r="U64" s="46"/>
      <c r="V64" s="46"/>
      <c r="W64" s="46"/>
      <c r="X64" s="46"/>
      <c r="Y64" s="46"/>
    </row>
    <row r="65" spans="1:25" ht="12.75" hidden="1" customHeight="1" outlineLevel="1">
      <c r="A65" s="9"/>
      <c r="B65" s="9"/>
      <c r="C65" s="538" t="s">
        <v>86</v>
      </c>
      <c r="D65" s="87">
        <v>1</v>
      </c>
      <c r="E65" s="256">
        <f ca="1">OFFSET('Actual RAB roll forward'!H$16,0,D65-1)-SUM('Actual RAB roll forward'!H98:OFFSET('Actual RAB roll forward'!H98,0,Input!$Y$7-1))</f>
        <v>0.63663453127430314</v>
      </c>
      <c r="F65" s="256">
        <f ca="1">IF(A5stdlife="N/A",0,IF(E65=0,0,A5stdlife+D65-Input!$Y$7))</f>
        <v>9</v>
      </c>
      <c r="G65" s="257"/>
      <c r="H65" s="256">
        <f t="shared" ref="H65:L74" ca="1" si="8">IF($F65=0,0,IF($F65-(H$6-$H$6)&lt;0,0,IF($F65-(H$6-$H$6)&lt;1,($F65-ROUNDDOWN($F65,0))*$E65/$F65,$E65/$F65)))</f>
        <v>7.0737170141589242E-2</v>
      </c>
      <c r="I65" s="256">
        <f t="shared" ca="1" si="8"/>
        <v>7.0737170141589242E-2</v>
      </c>
      <c r="J65" s="256">
        <f t="shared" ca="1" si="8"/>
        <v>7.0737170141589242E-2</v>
      </c>
      <c r="K65" s="256">
        <f t="shared" ca="1" si="8"/>
        <v>7.0737170141589242E-2</v>
      </c>
      <c r="L65" s="256">
        <f t="shared" ca="1" si="8"/>
        <v>7.0737170141589242E-2</v>
      </c>
      <c r="M65" s="9"/>
      <c r="N65" s="9"/>
      <c r="O65" s="9"/>
      <c r="P65" s="9"/>
      <c r="Q65" s="9"/>
      <c r="R65" s="46"/>
      <c r="S65" s="46"/>
      <c r="T65" s="46"/>
      <c r="U65" s="46"/>
      <c r="V65" s="46"/>
      <c r="W65" s="46"/>
      <c r="X65" s="46"/>
      <c r="Y65" s="46"/>
    </row>
    <row r="66" spans="1:25" hidden="1" outlineLevel="1">
      <c r="A66" s="9"/>
      <c r="B66" s="9"/>
      <c r="C66" s="539"/>
      <c r="D66" s="87">
        <v>2</v>
      </c>
      <c r="E66" s="256">
        <f ca="1">OFFSET('Actual RAB roll forward'!H$16,0,D66-1)-SUM('Actual RAB roll forward'!H99:OFFSET('Actual RAB roll forward'!H99,0,Input!$Y$7-1))</f>
        <v>2.5567314933170371</v>
      </c>
      <c r="F66" s="256">
        <f ca="1">IF(A5stdlife="N/A",0,IF(E66=0,0,A5stdlife+D66-Input!$Y$7))</f>
        <v>10</v>
      </c>
      <c r="G66" s="257"/>
      <c r="H66" s="256">
        <f t="shared" ca="1" si="8"/>
        <v>0.25567314933170371</v>
      </c>
      <c r="I66" s="256">
        <f t="shared" ca="1" si="8"/>
        <v>0.25567314933170371</v>
      </c>
      <c r="J66" s="256">
        <f t="shared" ca="1" si="8"/>
        <v>0.25567314933170371</v>
      </c>
      <c r="K66" s="256">
        <f t="shared" ca="1" si="8"/>
        <v>0.25567314933170371</v>
      </c>
      <c r="L66" s="256">
        <f t="shared" ca="1" si="8"/>
        <v>0.25567314933170371</v>
      </c>
      <c r="M66" s="9"/>
      <c r="N66" s="9"/>
      <c r="O66" s="9"/>
      <c r="P66" s="9"/>
      <c r="Q66" s="9"/>
      <c r="R66" s="46"/>
      <c r="S66" s="46"/>
      <c r="T66" s="46"/>
      <c r="U66" s="46"/>
      <c r="V66" s="46"/>
      <c r="W66" s="46"/>
      <c r="X66" s="46"/>
      <c r="Y66" s="46"/>
    </row>
    <row r="67" spans="1:25" hidden="1" outlineLevel="1">
      <c r="A67" s="9"/>
      <c r="B67" s="9"/>
      <c r="C67" s="539"/>
      <c r="D67" s="87">
        <v>3</v>
      </c>
      <c r="E67" s="256">
        <f ca="1">OFFSET('Actual RAB roll forward'!H$16,0,D67-1)-SUM('Actual RAB roll forward'!H100:OFFSET('Actual RAB roll forward'!H100,0,Input!$Y$7-1))</f>
        <v>2.1620429854532284</v>
      </c>
      <c r="F67" s="256">
        <f ca="1">IF(A5stdlife="N/A",0,IF(E67=0,0,A5stdlife+D67-Input!$Y$7))</f>
        <v>11</v>
      </c>
      <c r="G67" s="257"/>
      <c r="H67" s="256">
        <f t="shared" ca="1" si="8"/>
        <v>0.19654936231392986</v>
      </c>
      <c r="I67" s="256">
        <f t="shared" ca="1" si="8"/>
        <v>0.19654936231392986</v>
      </c>
      <c r="J67" s="256">
        <f t="shared" ca="1" si="8"/>
        <v>0.19654936231392986</v>
      </c>
      <c r="K67" s="256">
        <f t="shared" ca="1" si="8"/>
        <v>0.19654936231392986</v>
      </c>
      <c r="L67" s="256">
        <f t="shared" ca="1" si="8"/>
        <v>0.19654936231392986</v>
      </c>
      <c r="M67" s="9"/>
      <c r="N67" s="9"/>
      <c r="O67" s="9"/>
      <c r="P67" s="9"/>
      <c r="Q67" s="9"/>
      <c r="R67" s="46"/>
      <c r="S67" s="46"/>
      <c r="T67" s="46"/>
      <c r="U67" s="46"/>
      <c r="V67" s="46"/>
      <c r="W67" s="46"/>
      <c r="X67" s="46"/>
      <c r="Y67" s="46"/>
    </row>
    <row r="68" spans="1:25" hidden="1" outlineLevel="1">
      <c r="A68" s="9"/>
      <c r="B68" s="9"/>
      <c r="C68" s="539"/>
      <c r="D68" s="87">
        <v>4</v>
      </c>
      <c r="E68" s="256">
        <f ca="1">OFFSET('Actual RAB roll forward'!H$16,0,D68-1)-SUM('Actual RAB roll forward'!H101:OFFSET('Actual RAB roll forward'!H101,0,Input!$Y$7-1))</f>
        <v>2.2908919695864571</v>
      </c>
      <c r="F68" s="256">
        <f ca="1">IF(A5stdlife="N/A",0,IF(E68=0,0,A5stdlife+D68-Input!$Y$7))</f>
        <v>12</v>
      </c>
      <c r="G68" s="257"/>
      <c r="H68" s="256">
        <f t="shared" ca="1" si="8"/>
        <v>0.19090766413220475</v>
      </c>
      <c r="I68" s="256">
        <f t="shared" ca="1" si="8"/>
        <v>0.19090766413220475</v>
      </c>
      <c r="J68" s="256">
        <f t="shared" ca="1" si="8"/>
        <v>0.19090766413220475</v>
      </c>
      <c r="K68" s="256">
        <f t="shared" ca="1" si="8"/>
        <v>0.19090766413220475</v>
      </c>
      <c r="L68" s="256">
        <f t="shared" ca="1" si="8"/>
        <v>0.19090766413220475</v>
      </c>
      <c r="M68" s="9"/>
      <c r="N68" s="9"/>
      <c r="O68" s="9"/>
      <c r="P68" s="9"/>
      <c r="Q68" s="9"/>
      <c r="R68" s="46"/>
      <c r="S68" s="46"/>
      <c r="T68" s="46"/>
      <c r="U68" s="46"/>
      <c r="V68" s="46"/>
      <c r="W68" s="46"/>
      <c r="X68" s="46"/>
      <c r="Y68" s="46"/>
    </row>
    <row r="69" spans="1:25" hidden="1" outlineLevel="1">
      <c r="A69" s="9"/>
      <c r="B69" s="9"/>
      <c r="C69" s="539"/>
      <c r="D69" s="87">
        <v>5</v>
      </c>
      <c r="E69" s="256">
        <f ca="1">OFFSET('Actual RAB roll forward'!H$16,0,D69-1)-SUM('Actual RAB roll forward'!H102:OFFSET('Actual RAB roll forward'!H102,0,Input!$Y$7-1))</f>
        <v>1.9728309827932831</v>
      </c>
      <c r="F69" s="256">
        <f ca="1">IF(A5stdlife="N/A",0,IF(E69=0,0,A5stdlife+D69-Input!$Y$7))</f>
        <v>13</v>
      </c>
      <c r="G69" s="257"/>
      <c r="H69" s="256">
        <f t="shared" ca="1" si="8"/>
        <v>0.15175622944563716</v>
      </c>
      <c r="I69" s="256">
        <f t="shared" ca="1" si="8"/>
        <v>0.15175622944563716</v>
      </c>
      <c r="J69" s="256">
        <f t="shared" ca="1" si="8"/>
        <v>0.15175622944563716</v>
      </c>
      <c r="K69" s="256">
        <f t="shared" ca="1" si="8"/>
        <v>0.15175622944563716</v>
      </c>
      <c r="L69" s="256">
        <f t="shared" ca="1" si="8"/>
        <v>0.15175622944563716</v>
      </c>
      <c r="M69" s="9"/>
      <c r="N69" s="9"/>
      <c r="O69" s="9"/>
      <c r="P69" s="9"/>
      <c r="Q69" s="9"/>
      <c r="R69" s="46"/>
      <c r="S69" s="46"/>
      <c r="T69" s="46"/>
      <c r="U69" s="46"/>
      <c r="V69" s="46"/>
      <c r="W69" s="46"/>
      <c r="X69" s="46"/>
      <c r="Y69" s="46"/>
    </row>
    <row r="70" spans="1:25" hidden="1" outlineLevel="1">
      <c r="A70" s="9"/>
      <c r="B70" s="9"/>
      <c r="C70" s="539"/>
      <c r="D70" s="87">
        <v>6</v>
      </c>
      <c r="E70" s="256">
        <f ca="1">OFFSET('Actual RAB roll forward'!H$16,0,D70-1)-SUM('Actual RAB roll forward'!H103:OFFSET('Actual RAB roll forward'!H103,0,Input!$Y$7-1))</f>
        <v>0</v>
      </c>
      <c r="F70" s="256">
        <f ca="1">IF(A5stdlife="N/A",0,IF(E70=0,0,A5stdlife+D70-Input!$Y$7))</f>
        <v>0</v>
      </c>
      <c r="G70" s="257"/>
      <c r="H70" s="256">
        <f t="shared" ca="1" si="8"/>
        <v>0</v>
      </c>
      <c r="I70" s="256">
        <f t="shared" ca="1" si="8"/>
        <v>0</v>
      </c>
      <c r="J70" s="256">
        <f t="shared" ca="1" si="8"/>
        <v>0</v>
      </c>
      <c r="K70" s="256">
        <f t="shared" ca="1" si="8"/>
        <v>0</v>
      </c>
      <c r="L70" s="256">
        <f t="shared" ca="1" si="8"/>
        <v>0</v>
      </c>
      <c r="M70" s="9"/>
      <c r="N70" s="9"/>
      <c r="O70" s="9"/>
      <c r="P70" s="9"/>
      <c r="Q70" s="9"/>
      <c r="R70" s="46"/>
      <c r="S70" s="46"/>
      <c r="T70" s="46"/>
      <c r="U70" s="46"/>
      <c r="V70" s="46"/>
      <c r="W70" s="46"/>
      <c r="X70" s="46"/>
      <c r="Y70" s="46"/>
    </row>
    <row r="71" spans="1:25" hidden="1" outlineLevel="1">
      <c r="A71" s="9"/>
      <c r="B71" s="9"/>
      <c r="C71" s="539"/>
      <c r="D71" s="87">
        <v>7</v>
      </c>
      <c r="E71" s="256">
        <f ca="1">OFFSET('Actual RAB roll forward'!H$16,0,D71-1)-SUM('Actual RAB roll forward'!H104:OFFSET('Actual RAB roll forward'!H104,0,Input!$Y$7-1))</f>
        <v>0</v>
      </c>
      <c r="F71" s="256">
        <f ca="1">IF(A5stdlife="N/A",0,IF(E71=0,0,A5stdlife+D71-Input!$Y$7))</f>
        <v>0</v>
      </c>
      <c r="G71" s="257"/>
      <c r="H71" s="256">
        <f t="shared" ca="1" si="8"/>
        <v>0</v>
      </c>
      <c r="I71" s="256">
        <f t="shared" ca="1" si="8"/>
        <v>0</v>
      </c>
      <c r="J71" s="256">
        <f t="shared" ca="1" si="8"/>
        <v>0</v>
      </c>
      <c r="K71" s="256">
        <f t="shared" ca="1" si="8"/>
        <v>0</v>
      </c>
      <c r="L71" s="256">
        <f t="shared" ca="1" si="8"/>
        <v>0</v>
      </c>
      <c r="M71" s="9"/>
      <c r="N71" s="9"/>
      <c r="O71" s="9"/>
      <c r="P71" s="9"/>
      <c r="Q71" s="9"/>
      <c r="R71" s="46"/>
      <c r="S71" s="46"/>
      <c r="T71" s="46"/>
      <c r="U71" s="46"/>
      <c r="V71" s="46"/>
      <c r="W71" s="46"/>
      <c r="X71" s="46"/>
      <c r="Y71" s="46"/>
    </row>
    <row r="72" spans="1:25" hidden="1" outlineLevel="1">
      <c r="A72" s="9"/>
      <c r="B72" s="9"/>
      <c r="C72" s="539"/>
      <c r="D72" s="87">
        <v>8</v>
      </c>
      <c r="E72" s="256">
        <f ca="1">OFFSET('Actual RAB roll forward'!H$16,0,D72-1)-SUM('Actual RAB roll forward'!H105:OFFSET('Actual RAB roll forward'!H105,0,Input!$Y$7-1))</f>
        <v>0</v>
      </c>
      <c r="F72" s="256">
        <f ca="1">IF(A5stdlife="N/A",0,IF(E72=0,0,A5stdlife+D72-Input!$Y$7))</f>
        <v>0</v>
      </c>
      <c r="G72" s="257"/>
      <c r="H72" s="256">
        <f t="shared" ca="1" si="8"/>
        <v>0</v>
      </c>
      <c r="I72" s="256">
        <f t="shared" ca="1" si="8"/>
        <v>0</v>
      </c>
      <c r="J72" s="256">
        <f t="shared" ca="1" si="8"/>
        <v>0</v>
      </c>
      <c r="K72" s="256">
        <f t="shared" ca="1" si="8"/>
        <v>0</v>
      </c>
      <c r="L72" s="256">
        <f t="shared" ca="1" si="8"/>
        <v>0</v>
      </c>
      <c r="M72" s="9"/>
      <c r="N72" s="9"/>
      <c r="O72" s="9"/>
      <c r="P72" s="9"/>
      <c r="Q72" s="9"/>
      <c r="R72" s="46"/>
      <c r="S72" s="46"/>
      <c r="T72" s="46"/>
      <c r="U72" s="46"/>
      <c r="V72" s="46"/>
      <c r="W72" s="46"/>
      <c r="X72" s="46"/>
      <c r="Y72" s="46"/>
    </row>
    <row r="73" spans="1:25" hidden="1" outlineLevel="1">
      <c r="A73" s="9"/>
      <c r="B73" s="9"/>
      <c r="C73" s="539"/>
      <c r="D73" s="87">
        <v>9</v>
      </c>
      <c r="E73" s="256">
        <f ca="1">OFFSET('Actual RAB roll forward'!H$16,0,D73-1)-SUM('Actual RAB roll forward'!H106:OFFSET('Actual RAB roll forward'!H106,0,Input!$Y$7-1))</f>
        <v>0</v>
      </c>
      <c r="F73" s="256">
        <f ca="1">IF(A5stdlife="N/A",0,IF(E73=0,0,A5stdlife+D73-Input!$Y$7))</f>
        <v>0</v>
      </c>
      <c r="G73" s="257"/>
      <c r="H73" s="256">
        <f t="shared" ca="1" si="8"/>
        <v>0</v>
      </c>
      <c r="I73" s="256">
        <f t="shared" ca="1" si="8"/>
        <v>0</v>
      </c>
      <c r="J73" s="256">
        <f t="shared" ca="1" si="8"/>
        <v>0</v>
      </c>
      <c r="K73" s="256">
        <f t="shared" ca="1" si="8"/>
        <v>0</v>
      </c>
      <c r="L73" s="256">
        <f t="shared" ca="1" si="8"/>
        <v>0</v>
      </c>
      <c r="M73" s="9"/>
      <c r="N73" s="9"/>
      <c r="O73" s="9"/>
      <c r="P73" s="9"/>
      <c r="Q73" s="9"/>
      <c r="R73" s="46"/>
      <c r="S73" s="46"/>
      <c r="T73" s="46"/>
      <c r="U73" s="46"/>
      <c r="V73" s="46"/>
      <c r="W73" s="46"/>
      <c r="X73" s="46"/>
      <c r="Y73" s="46"/>
    </row>
    <row r="74" spans="1:25" hidden="1" outlineLevel="1">
      <c r="A74" s="9"/>
      <c r="B74" s="9"/>
      <c r="C74" s="540"/>
      <c r="D74" s="88">
        <v>10</v>
      </c>
      <c r="E74" s="256">
        <f ca="1">OFFSET('Actual RAB roll forward'!H$16,0,D74-1)-SUM('Actual RAB roll forward'!H107:OFFSET('Actual RAB roll forward'!H107,0,Input!$Y$7-1))</f>
        <v>0</v>
      </c>
      <c r="F74" s="256">
        <f ca="1">IF(A5stdlife="N/A",0,IF(E74=0,0,A5stdlife+D74-Input!$Y$7))</f>
        <v>0</v>
      </c>
      <c r="G74" s="257"/>
      <c r="H74" s="256">
        <f t="shared" ca="1" si="8"/>
        <v>0</v>
      </c>
      <c r="I74" s="256">
        <f t="shared" ca="1" si="8"/>
        <v>0</v>
      </c>
      <c r="J74" s="256">
        <f t="shared" ca="1" si="8"/>
        <v>0</v>
      </c>
      <c r="K74" s="256">
        <f t="shared" ca="1" si="8"/>
        <v>0</v>
      </c>
      <c r="L74" s="256">
        <f t="shared" ca="1" si="8"/>
        <v>0</v>
      </c>
      <c r="M74" s="9"/>
      <c r="N74" s="9"/>
      <c r="O74" s="9"/>
      <c r="P74" s="9"/>
      <c r="Q74" s="9"/>
      <c r="R74" s="46"/>
      <c r="S74" s="46"/>
      <c r="T74" s="46"/>
      <c r="U74" s="46"/>
      <c r="V74" s="46"/>
      <c r="W74" s="46"/>
      <c r="X74" s="46"/>
      <c r="Y74" s="46"/>
    </row>
    <row r="75" spans="1:25" collapsed="1">
      <c r="A75" s="9"/>
      <c r="B75" s="9"/>
      <c r="C75" s="264" t="str">
        <f>Asset5</f>
        <v>SCADA/Network control</v>
      </c>
      <c r="D75" s="9"/>
      <c r="E75" s="256">
        <f ca="1">SUM(E64:E74)</f>
        <v>15.043250375700557</v>
      </c>
      <c r="F75" s="516">
        <f ca="1">IF(E75=0,0,SUMPRODUCT(E64:E74,F64:F74)/E75)</f>
        <v>8.1517965749210077</v>
      </c>
      <c r="G75" s="257"/>
      <c r="H75" s="256">
        <f t="shared" ref="H75:L75" ca="1" si="9">SUM(H64:H74)</f>
        <v>2.9069790808989886</v>
      </c>
      <c r="I75" s="256">
        <f t="shared" ca="1" si="9"/>
        <v>2.9069790808989886</v>
      </c>
      <c r="J75" s="256">
        <f t="shared" ca="1" si="9"/>
        <v>2.2070309775734636</v>
      </c>
      <c r="K75" s="256">
        <f t="shared" ca="1" si="9"/>
        <v>0.86562357536506473</v>
      </c>
      <c r="L75" s="256">
        <f t="shared" ca="1" si="9"/>
        <v>0.86562357536506473</v>
      </c>
      <c r="M75" s="256">
        <f ca="1">IF(SUM(H75:L75)=0,0,IF(AND(SUM(H75:L75)=E75,A5stdlife="n/a"),A5remlife-Input!$Y$7,E75/(SUM(H75:L75)/COUNTIF(H75:L75,"&gt;0"))))</f>
        <v>7.7127183592594637</v>
      </c>
      <c r="N75" s="9"/>
      <c r="O75" s="9"/>
      <c r="P75" s="9"/>
      <c r="Q75" s="9"/>
      <c r="R75" s="46"/>
      <c r="S75" s="46"/>
      <c r="T75" s="46"/>
      <c r="U75" s="46"/>
      <c r="V75" s="46"/>
      <c r="W75" s="46"/>
      <c r="X75" s="46"/>
      <c r="Y75" s="46"/>
    </row>
    <row r="76" spans="1:25" hidden="1" outlineLevel="1">
      <c r="A76" s="9"/>
      <c r="B76" s="9"/>
      <c r="C76" s="264"/>
      <c r="D76" s="9"/>
      <c r="E76" s="256"/>
      <c r="F76" s="256"/>
      <c r="G76" s="257"/>
      <c r="H76" s="256"/>
      <c r="I76" s="256"/>
      <c r="J76" s="256"/>
      <c r="K76" s="256"/>
      <c r="L76" s="256"/>
      <c r="M76" s="9"/>
      <c r="N76" s="9"/>
      <c r="O76" s="9"/>
      <c r="P76" s="9"/>
      <c r="Q76" s="9"/>
      <c r="R76" s="46"/>
      <c r="S76" s="46"/>
      <c r="T76" s="46"/>
      <c r="U76" s="46"/>
      <c r="V76" s="46"/>
      <c r="W76" s="46"/>
      <c r="X76" s="46"/>
      <c r="Y76" s="46"/>
    </row>
    <row r="77" spans="1:25" hidden="1" outlineLevel="1">
      <c r="A77" s="9"/>
      <c r="B77" s="255" t="str">
        <f>Asset6</f>
        <v>Non-network general assets - IT</v>
      </c>
      <c r="C77" s="9"/>
      <c r="D77" s="9"/>
      <c r="E77" s="256"/>
      <c r="F77" s="256"/>
      <c r="G77" s="257"/>
      <c r="H77" s="256"/>
      <c r="I77" s="256"/>
      <c r="J77" s="256"/>
      <c r="K77" s="256"/>
      <c r="L77" s="256"/>
      <c r="M77" s="9"/>
      <c r="N77" s="9"/>
      <c r="O77" s="9"/>
      <c r="P77" s="9"/>
      <c r="Q77" s="9"/>
      <c r="R77" s="46"/>
      <c r="S77" s="46"/>
      <c r="T77" s="46"/>
      <c r="U77" s="46"/>
      <c r="V77" s="46"/>
      <c r="W77" s="46"/>
      <c r="X77" s="46"/>
      <c r="Y77" s="46"/>
    </row>
    <row r="78" spans="1:25" ht="12.75" hidden="1" customHeight="1" outlineLevel="1">
      <c r="A78" s="9"/>
      <c r="B78" s="9"/>
      <c r="C78" s="541" t="s">
        <v>28</v>
      </c>
      <c r="D78" s="542"/>
      <c r="E78" s="256">
        <f ca="1">A6value-SUM('Actual RAB roll forward'!H109:OFFSET('Actual RAB roll forward'!H109,0,Input!$Y$7-1))</f>
        <v>2.5243179277709554E-3</v>
      </c>
      <c r="F78" s="256">
        <f>IF(A6remlife="N/A",0,A6remlife-Input!$Y$7)</f>
        <v>0.17556249471479202</v>
      </c>
      <c r="G78" s="257"/>
      <c r="H78" s="256">
        <f ca="1">IF($F78=0,0,IF($F78-(H$6-$H$6)&lt;0,0,IF($F78-(H$6-$H$6)&lt;1,($F78-ROUNDDOWN($F78,0))*$E78/$F78,$E78/$F78)))</f>
        <v>2.5243179277709554E-3</v>
      </c>
      <c r="I78" s="256">
        <f>IF($F78=0,0,IF($F78-(I$6-$H$6)&lt;0,0,IF($F78-(I$6-$H$6)&lt;1,($F78-ROUNDDOWN($F78,0))*$E78/$F78,$E78/$F78)))</f>
        <v>0</v>
      </c>
      <c r="J78" s="256">
        <f>IF($F78=0,0,IF($F78-(J$6-$H$6)&lt;0,0,IF($F78-(J$6-$H$6)&lt;1,($F78-ROUNDDOWN($F78,0))*$E78/$F78,$E78/$F78)))</f>
        <v>0</v>
      </c>
      <c r="K78" s="256">
        <f>IF($F78=0,0,IF($F78-(K$6-$H$6)&lt;0,0,IF($F78-(K$6-$H$6)&lt;1,($F78-ROUNDDOWN($F78,0))*$E78/$F78,$E78/$F78)))</f>
        <v>0</v>
      </c>
      <c r="L78" s="256">
        <f>IF($F78=0,0,IF($F78-(L$6-$H$6)&lt;0,0,IF($F78-(L$6-$H$6)&lt;1,($F78-ROUNDDOWN($F78,0))*$E78/$F78,$E78/$F78)))</f>
        <v>0</v>
      </c>
      <c r="M78" s="9"/>
      <c r="N78" s="9"/>
      <c r="O78" s="9"/>
      <c r="P78" s="9"/>
      <c r="Q78" s="9"/>
      <c r="R78" s="46"/>
      <c r="S78" s="46"/>
      <c r="T78" s="46"/>
      <c r="U78" s="46"/>
      <c r="V78" s="46"/>
      <c r="W78" s="46"/>
      <c r="X78" s="46"/>
      <c r="Y78" s="46"/>
    </row>
    <row r="79" spans="1:25" ht="12.75" hidden="1" customHeight="1" outlineLevel="1">
      <c r="A79" s="9"/>
      <c r="B79" s="9"/>
      <c r="C79" s="538" t="s">
        <v>86</v>
      </c>
      <c r="D79" s="87">
        <v>1</v>
      </c>
      <c r="E79" s="256">
        <f ca="1">OFFSET('Actual RAB roll forward'!H$17,0,D79-1)-SUM('Actual RAB roll forward'!H111:OFFSET('Actual RAB roll forward'!H111,0,Input!$Y$7-1))</f>
        <v>1.2031185716863368</v>
      </c>
      <c r="F79" s="256">
        <f ca="1">IF(A6stdlife="N/A",0,IF(E79=0,0,A6stdlife+D79-Input!$Y$7))</f>
        <v>2</v>
      </c>
      <c r="G79" s="257"/>
      <c r="H79" s="256">
        <f t="shared" ref="H79:L88" ca="1" si="10">IF($F79=0,0,IF($F79-(H$6-$H$6)&lt;0,0,IF($F79-(H$6-$H$6)&lt;1,($F79-ROUNDDOWN($F79,0))*$E79/$F79,$E79/$F79)))</f>
        <v>0.60155928584316842</v>
      </c>
      <c r="I79" s="256">
        <f t="shared" ca="1" si="10"/>
        <v>0.60155928584316842</v>
      </c>
      <c r="J79" s="256">
        <f t="shared" ca="1" si="10"/>
        <v>0</v>
      </c>
      <c r="K79" s="256">
        <f t="shared" ca="1" si="10"/>
        <v>0</v>
      </c>
      <c r="L79" s="256">
        <f t="shared" ca="1" si="10"/>
        <v>0</v>
      </c>
      <c r="M79" s="9"/>
      <c r="N79" s="9"/>
      <c r="O79" s="9"/>
      <c r="P79" s="9"/>
      <c r="Q79" s="9"/>
      <c r="R79" s="46"/>
      <c r="S79" s="46"/>
      <c r="T79" s="46"/>
      <c r="U79" s="46"/>
      <c r="V79" s="46"/>
      <c r="W79" s="46"/>
      <c r="X79" s="46"/>
      <c r="Y79" s="46"/>
    </row>
    <row r="80" spans="1:25" hidden="1" outlineLevel="1">
      <c r="A80" s="9"/>
      <c r="B80" s="9"/>
      <c r="C80" s="539"/>
      <c r="D80" s="87">
        <v>2</v>
      </c>
      <c r="E80" s="256">
        <f ca="1">OFFSET('Actual RAB roll forward'!H$17,0,D80-1)-SUM('Actual RAB roll forward'!H112:OFFSET('Actual RAB roll forward'!H112,0,Input!$Y$7-1))</f>
        <v>2.9002315576241076</v>
      </c>
      <c r="F80" s="256">
        <f ca="1">IF(A6stdlife="N/A",0,IF(E80=0,0,A6stdlife+D80-Input!$Y$7))</f>
        <v>3</v>
      </c>
      <c r="G80" s="257"/>
      <c r="H80" s="256">
        <f t="shared" ca="1" si="10"/>
        <v>0.96674385254136919</v>
      </c>
      <c r="I80" s="256">
        <f t="shared" ca="1" si="10"/>
        <v>0.96674385254136919</v>
      </c>
      <c r="J80" s="256">
        <f t="shared" ca="1" si="10"/>
        <v>0.96674385254136919</v>
      </c>
      <c r="K80" s="256">
        <f t="shared" ca="1" si="10"/>
        <v>0</v>
      </c>
      <c r="L80" s="256">
        <f t="shared" ca="1" si="10"/>
        <v>0</v>
      </c>
      <c r="M80" s="9"/>
      <c r="N80" s="9"/>
      <c r="O80" s="9"/>
      <c r="P80" s="9"/>
      <c r="Q80" s="9"/>
      <c r="R80" s="46"/>
      <c r="S80" s="46"/>
      <c r="T80" s="46"/>
      <c r="U80" s="46"/>
      <c r="V80" s="46"/>
      <c r="W80" s="46"/>
      <c r="X80" s="46"/>
      <c r="Y80" s="46"/>
    </row>
    <row r="81" spans="1:25" hidden="1" outlineLevel="1">
      <c r="A81" s="9"/>
      <c r="B81" s="9"/>
      <c r="C81" s="539"/>
      <c r="D81" s="87">
        <v>3</v>
      </c>
      <c r="E81" s="256">
        <f ca="1">OFFSET('Actual RAB roll forward'!H$17,0,D81-1)-SUM('Actual RAB roll forward'!H113:OFFSET('Actual RAB roll forward'!H113,0,Input!$Y$7-1))</f>
        <v>3.2704332948635502</v>
      </c>
      <c r="F81" s="256">
        <f ca="1">IF(A6stdlife="N/A",0,IF(E81=0,0,A6stdlife+D81-Input!$Y$7))</f>
        <v>4</v>
      </c>
      <c r="G81" s="257"/>
      <c r="H81" s="256">
        <f t="shared" ca="1" si="10"/>
        <v>0.81760832371588754</v>
      </c>
      <c r="I81" s="256">
        <f t="shared" ca="1" si="10"/>
        <v>0.81760832371588754</v>
      </c>
      <c r="J81" s="256">
        <f t="shared" ca="1" si="10"/>
        <v>0.81760832371588754</v>
      </c>
      <c r="K81" s="256">
        <f t="shared" ca="1" si="10"/>
        <v>0.81760832371588754</v>
      </c>
      <c r="L81" s="256">
        <f t="shared" ca="1" si="10"/>
        <v>0</v>
      </c>
      <c r="M81" s="9"/>
      <c r="N81" s="9"/>
      <c r="O81" s="9"/>
      <c r="P81" s="9"/>
      <c r="Q81" s="9"/>
      <c r="R81" s="46"/>
      <c r="S81" s="46"/>
      <c r="T81" s="46"/>
      <c r="U81" s="46"/>
      <c r="V81" s="46"/>
      <c r="W81" s="46"/>
      <c r="X81" s="46"/>
      <c r="Y81" s="46"/>
    </row>
    <row r="82" spans="1:25" hidden="1" outlineLevel="1">
      <c r="A82" s="9"/>
      <c r="B82" s="9"/>
      <c r="C82" s="539"/>
      <c r="D82" s="87">
        <v>4</v>
      </c>
      <c r="E82" s="256">
        <f ca="1">OFFSET('Actual RAB roll forward'!H$17,0,D82-1)-SUM('Actual RAB roll forward'!H114:OFFSET('Actual RAB roll forward'!H114,0,Input!$Y$7-1))</f>
        <v>6.833975446075728</v>
      </c>
      <c r="F82" s="256">
        <f ca="1">IF(A6stdlife="N/A",0,IF(E82=0,0,A6stdlife+D82-Input!$Y$7))</f>
        <v>5</v>
      </c>
      <c r="G82" s="257"/>
      <c r="H82" s="256">
        <f t="shared" ca="1" si="10"/>
        <v>1.3667950892151457</v>
      </c>
      <c r="I82" s="256">
        <f t="shared" ca="1" si="10"/>
        <v>1.3667950892151457</v>
      </c>
      <c r="J82" s="256">
        <f t="shared" ca="1" si="10"/>
        <v>1.3667950892151457</v>
      </c>
      <c r="K82" s="256">
        <f t="shared" ca="1" si="10"/>
        <v>1.3667950892151457</v>
      </c>
      <c r="L82" s="256">
        <f t="shared" ca="1" si="10"/>
        <v>1.3667950892151457</v>
      </c>
      <c r="M82" s="9"/>
      <c r="N82" s="9"/>
      <c r="O82" s="9"/>
      <c r="P82" s="9"/>
      <c r="Q82" s="9"/>
      <c r="R82" s="46"/>
      <c r="S82" s="46"/>
      <c r="T82" s="46"/>
      <c r="U82" s="46"/>
      <c r="V82" s="46"/>
      <c r="W82" s="46"/>
      <c r="X82" s="46"/>
      <c r="Y82" s="46"/>
    </row>
    <row r="83" spans="1:25" hidden="1" outlineLevel="1">
      <c r="A83" s="9"/>
      <c r="B83" s="9"/>
      <c r="C83" s="539"/>
      <c r="D83" s="87">
        <v>5</v>
      </c>
      <c r="E83" s="256">
        <f ca="1">OFFSET('Actual RAB roll forward'!H$17,0,D83-1)-SUM('Actual RAB roll forward'!H115:OFFSET('Actual RAB roll forward'!H115,0,Input!$Y$7-1))</f>
        <v>14.278875721966784</v>
      </c>
      <c r="F83" s="256">
        <f ca="1">IF(A6stdlife="N/A",0,IF(E83=0,0,A6stdlife+D83-Input!$Y$7))</f>
        <v>6</v>
      </c>
      <c r="G83" s="257"/>
      <c r="H83" s="256">
        <f t="shared" ca="1" si="10"/>
        <v>2.3798126203277974</v>
      </c>
      <c r="I83" s="256">
        <f t="shared" ca="1" si="10"/>
        <v>2.3798126203277974</v>
      </c>
      <c r="J83" s="256">
        <f t="shared" ca="1" si="10"/>
        <v>2.3798126203277974</v>
      </c>
      <c r="K83" s="256">
        <f t="shared" ca="1" si="10"/>
        <v>2.3798126203277974</v>
      </c>
      <c r="L83" s="256">
        <f t="shared" ca="1" si="10"/>
        <v>2.3798126203277974</v>
      </c>
      <c r="M83" s="9"/>
      <c r="N83" s="9"/>
      <c r="O83" s="9"/>
      <c r="P83" s="9"/>
      <c r="Q83" s="9"/>
      <c r="R83" s="46"/>
      <c r="S83" s="46"/>
      <c r="T83" s="46"/>
      <c r="U83" s="46"/>
      <c r="V83" s="46"/>
      <c r="W83" s="46"/>
      <c r="X83" s="46"/>
      <c r="Y83" s="46"/>
    </row>
    <row r="84" spans="1:25" hidden="1" outlineLevel="1">
      <c r="A84" s="9"/>
      <c r="B84" s="9"/>
      <c r="C84" s="539"/>
      <c r="D84" s="87">
        <v>6</v>
      </c>
      <c r="E84" s="256">
        <f ca="1">OFFSET('Actual RAB roll forward'!H$17,0,D84-1)-SUM('Actual RAB roll forward'!H116:OFFSET('Actual RAB roll forward'!H116,0,Input!$Y$7-1))</f>
        <v>0</v>
      </c>
      <c r="F84" s="256">
        <f ca="1">IF(A6stdlife="N/A",0,IF(E84=0,0,A6stdlife+D84-Input!$Y$7))</f>
        <v>0</v>
      </c>
      <c r="G84" s="257"/>
      <c r="H84" s="256">
        <f t="shared" ca="1" si="10"/>
        <v>0</v>
      </c>
      <c r="I84" s="256">
        <f t="shared" ca="1" si="10"/>
        <v>0</v>
      </c>
      <c r="J84" s="256">
        <f t="shared" ca="1" si="10"/>
        <v>0</v>
      </c>
      <c r="K84" s="256">
        <f t="shared" ca="1" si="10"/>
        <v>0</v>
      </c>
      <c r="L84" s="256">
        <f t="shared" ca="1" si="10"/>
        <v>0</v>
      </c>
      <c r="M84" s="9"/>
      <c r="N84" s="9"/>
      <c r="O84" s="9"/>
      <c r="P84" s="9"/>
      <c r="Q84" s="9"/>
      <c r="R84" s="46"/>
      <c r="S84" s="46"/>
      <c r="T84" s="46"/>
      <c r="U84" s="46"/>
      <c r="V84" s="46"/>
      <c r="W84" s="46"/>
      <c r="X84" s="46"/>
      <c r="Y84" s="46"/>
    </row>
    <row r="85" spans="1:25" hidden="1" outlineLevel="1">
      <c r="A85" s="9"/>
      <c r="B85" s="9"/>
      <c r="C85" s="539"/>
      <c r="D85" s="87">
        <v>7</v>
      </c>
      <c r="E85" s="256">
        <f ca="1">OFFSET('Actual RAB roll forward'!H$17,0,D85-1)-SUM('Actual RAB roll forward'!H117:OFFSET('Actual RAB roll forward'!H117,0,Input!$Y$7-1))</f>
        <v>0</v>
      </c>
      <c r="F85" s="256">
        <f ca="1">IF(A6stdlife="N/A",0,IF(E85=0,0,A6stdlife+D85-Input!$Y$7))</f>
        <v>0</v>
      </c>
      <c r="G85" s="257"/>
      <c r="H85" s="256">
        <f t="shared" ca="1" si="10"/>
        <v>0</v>
      </c>
      <c r="I85" s="256">
        <f t="shared" ca="1" si="10"/>
        <v>0</v>
      </c>
      <c r="J85" s="256">
        <f t="shared" ca="1" si="10"/>
        <v>0</v>
      </c>
      <c r="K85" s="256">
        <f t="shared" ca="1" si="10"/>
        <v>0</v>
      </c>
      <c r="L85" s="256">
        <f t="shared" ca="1" si="10"/>
        <v>0</v>
      </c>
      <c r="M85" s="9"/>
      <c r="N85" s="9"/>
      <c r="O85" s="9"/>
      <c r="P85" s="9"/>
      <c r="Q85" s="9"/>
      <c r="R85" s="46"/>
      <c r="S85" s="46"/>
      <c r="T85" s="46"/>
      <c r="U85" s="46"/>
      <c r="V85" s="46"/>
      <c r="W85" s="46"/>
      <c r="X85" s="46"/>
      <c r="Y85" s="46"/>
    </row>
    <row r="86" spans="1:25" hidden="1" outlineLevel="1">
      <c r="A86" s="9"/>
      <c r="B86" s="9"/>
      <c r="C86" s="539"/>
      <c r="D86" s="87">
        <v>8</v>
      </c>
      <c r="E86" s="256">
        <f ca="1">OFFSET('Actual RAB roll forward'!H$17,0,D86-1)-SUM('Actual RAB roll forward'!H118:OFFSET('Actual RAB roll forward'!H118,0,Input!$Y$7-1))</f>
        <v>0</v>
      </c>
      <c r="F86" s="256">
        <f ca="1">IF(A6stdlife="N/A",0,IF(E86=0,0,A6stdlife+D86-Input!$Y$7))</f>
        <v>0</v>
      </c>
      <c r="G86" s="257"/>
      <c r="H86" s="256">
        <f t="shared" ca="1" si="10"/>
        <v>0</v>
      </c>
      <c r="I86" s="256">
        <f t="shared" ca="1" si="10"/>
        <v>0</v>
      </c>
      <c r="J86" s="256">
        <f t="shared" ca="1" si="10"/>
        <v>0</v>
      </c>
      <c r="K86" s="256">
        <f t="shared" ca="1" si="10"/>
        <v>0</v>
      </c>
      <c r="L86" s="256">
        <f t="shared" ca="1" si="10"/>
        <v>0</v>
      </c>
      <c r="M86" s="9"/>
      <c r="N86" s="9"/>
      <c r="O86" s="9"/>
      <c r="P86" s="9"/>
      <c r="Q86" s="9"/>
      <c r="R86" s="46"/>
      <c r="S86" s="46"/>
      <c r="T86" s="46"/>
      <c r="U86" s="46"/>
      <c r="V86" s="46"/>
      <c r="W86" s="46"/>
      <c r="X86" s="46"/>
      <c r="Y86" s="46"/>
    </row>
    <row r="87" spans="1:25" hidden="1" outlineLevel="1">
      <c r="A87" s="9"/>
      <c r="B87" s="9"/>
      <c r="C87" s="539"/>
      <c r="D87" s="87">
        <v>9</v>
      </c>
      <c r="E87" s="256">
        <f ca="1">OFFSET('Actual RAB roll forward'!H$17,0,D87-1)-SUM('Actual RAB roll forward'!H119:OFFSET('Actual RAB roll forward'!H119,0,Input!$Y$7-1))</f>
        <v>0</v>
      </c>
      <c r="F87" s="256">
        <f ca="1">IF(A6stdlife="N/A",0,IF(E87=0,0,A6stdlife+D87-Input!$Y$7))</f>
        <v>0</v>
      </c>
      <c r="G87" s="257"/>
      <c r="H87" s="256">
        <f t="shared" ca="1" si="10"/>
        <v>0</v>
      </c>
      <c r="I87" s="256">
        <f t="shared" ca="1" si="10"/>
        <v>0</v>
      </c>
      <c r="J87" s="256">
        <f t="shared" ca="1" si="10"/>
        <v>0</v>
      </c>
      <c r="K87" s="256">
        <f t="shared" ca="1" si="10"/>
        <v>0</v>
      </c>
      <c r="L87" s="256">
        <f t="shared" ca="1" si="10"/>
        <v>0</v>
      </c>
      <c r="M87" s="9"/>
      <c r="N87" s="9"/>
      <c r="O87" s="9"/>
      <c r="P87" s="9"/>
      <c r="Q87" s="9"/>
      <c r="R87" s="46"/>
      <c r="S87" s="46"/>
      <c r="T87" s="46"/>
      <c r="U87" s="46"/>
      <c r="V87" s="46"/>
      <c r="W87" s="46"/>
      <c r="X87" s="46"/>
      <c r="Y87" s="46"/>
    </row>
    <row r="88" spans="1:25" hidden="1" outlineLevel="1">
      <c r="A88" s="9"/>
      <c r="B88" s="9"/>
      <c r="C88" s="540"/>
      <c r="D88" s="88">
        <v>10</v>
      </c>
      <c r="E88" s="256">
        <f ca="1">OFFSET('Actual RAB roll forward'!H$17,0,D88-1)-SUM('Actual RAB roll forward'!H120:OFFSET('Actual RAB roll forward'!H120,0,Input!$Y$7-1))</f>
        <v>0</v>
      </c>
      <c r="F88" s="256">
        <f ca="1">IF(A6stdlife="N/A",0,IF(E88=0,0,A6stdlife+D88-Input!$Y$7))</f>
        <v>0</v>
      </c>
      <c r="G88" s="257"/>
      <c r="H88" s="256">
        <f t="shared" ca="1" si="10"/>
        <v>0</v>
      </c>
      <c r="I88" s="256">
        <f t="shared" ca="1" si="10"/>
        <v>0</v>
      </c>
      <c r="J88" s="256">
        <f t="shared" ca="1" si="10"/>
        <v>0</v>
      </c>
      <c r="K88" s="256">
        <f t="shared" ca="1" si="10"/>
        <v>0</v>
      </c>
      <c r="L88" s="256">
        <f t="shared" ca="1" si="10"/>
        <v>0</v>
      </c>
      <c r="M88" s="9"/>
      <c r="N88" s="9"/>
      <c r="O88" s="9"/>
      <c r="P88" s="9"/>
      <c r="Q88" s="9"/>
      <c r="R88" s="46"/>
      <c r="S88" s="46"/>
      <c r="T88" s="46"/>
      <c r="U88" s="46"/>
      <c r="V88" s="46"/>
      <c r="W88" s="46"/>
      <c r="X88" s="46"/>
      <c r="Y88" s="46"/>
    </row>
    <row r="89" spans="1:25" collapsed="1">
      <c r="A89" s="9"/>
      <c r="B89" s="9"/>
      <c r="C89" s="264" t="str">
        <f>Asset6</f>
        <v>Non-network general assets - IT</v>
      </c>
      <c r="D89" s="9"/>
      <c r="E89" s="256">
        <f ca="1">SUM(E78:E88)</f>
        <v>28.489158910144276</v>
      </c>
      <c r="F89" s="516">
        <f ca="1">IF(E89=0,0,SUMPRODUCT(E78:E88,F78:F88)/E89)</f>
        <v>5.0556859255730826</v>
      </c>
      <c r="G89" s="257"/>
      <c r="H89" s="256">
        <f t="shared" ref="H89:L89" ca="1" si="11">SUM(H78:H88)</f>
        <v>6.1350434895711388</v>
      </c>
      <c r="I89" s="256">
        <f t="shared" ca="1" si="11"/>
        <v>6.1325191716433682</v>
      </c>
      <c r="J89" s="256">
        <f t="shared" ca="1" si="11"/>
        <v>5.5309598858001996</v>
      </c>
      <c r="K89" s="256">
        <f t="shared" ca="1" si="11"/>
        <v>4.5642160332588304</v>
      </c>
      <c r="L89" s="256">
        <f t="shared" ca="1" si="11"/>
        <v>3.7466077095429431</v>
      </c>
      <c r="M89" s="256">
        <f ca="1">IF(SUM(H89:L89)=0,0,IF(AND(SUM(H89:L89)=E89,A6stdlife="n/a"),A6remlife-Input!$Y$7,E89/(SUM(H89:L89)/COUNTIF(H89:L89,"&gt;0"))))</f>
        <v>5.4557396025759566</v>
      </c>
      <c r="N89" s="9"/>
      <c r="O89" s="9"/>
      <c r="P89" s="9"/>
      <c r="Q89" s="9"/>
      <c r="R89" s="46"/>
      <c r="S89" s="46"/>
      <c r="T89" s="46"/>
      <c r="U89" s="46"/>
      <c r="V89" s="46"/>
      <c r="W89" s="46"/>
      <c r="X89" s="46"/>
      <c r="Y89" s="46"/>
    </row>
    <row r="90" spans="1:25" hidden="1" outlineLevel="1">
      <c r="A90" s="9"/>
      <c r="B90" s="9"/>
      <c r="C90" s="264"/>
      <c r="D90" s="9"/>
      <c r="E90" s="256"/>
      <c r="F90" s="256"/>
      <c r="G90" s="257"/>
      <c r="H90" s="256"/>
      <c r="I90" s="256"/>
      <c r="J90" s="256"/>
      <c r="K90" s="256"/>
      <c r="L90" s="256"/>
      <c r="M90" s="256">
        <f>IF(SUM(H90:L90)=0,0,IF(AND(SUM(H90:L90)=E90,A5stdlife="n/a"),A5remlife-Input!$Y$7,E90/(SUM(H90:L90)/COUNTIF(H90:L90,"&gt;0"))))</f>
        <v>0</v>
      </c>
      <c r="N90" s="9"/>
      <c r="O90" s="9"/>
      <c r="P90" s="9"/>
      <c r="Q90" s="9"/>
      <c r="R90" s="46"/>
      <c r="S90" s="46"/>
      <c r="T90" s="46"/>
      <c r="U90" s="46"/>
      <c r="V90" s="46"/>
      <c r="W90" s="46"/>
      <c r="X90" s="46"/>
      <c r="Y90" s="46"/>
    </row>
    <row r="91" spans="1:25" hidden="1" outlineLevel="1">
      <c r="A91" s="9"/>
      <c r="B91" s="255" t="str">
        <f>Asset7</f>
        <v>Non-network general assets - Other</v>
      </c>
      <c r="C91" s="9"/>
      <c r="D91" s="12"/>
      <c r="E91" s="256"/>
      <c r="F91" s="256"/>
      <c r="G91" s="257"/>
      <c r="H91" s="256"/>
      <c r="I91" s="256"/>
      <c r="J91" s="256"/>
      <c r="K91" s="256"/>
      <c r="L91" s="256"/>
      <c r="M91" s="256">
        <f>IF(SUM(H91:L91)=0,0,IF(AND(SUM(H91:L91)=E91,A5stdlife="n/a"),A5remlife-Input!$Y$7,E91/(SUM(H91:L91)/COUNTIF(H91:L91,"&gt;0"))))</f>
        <v>0</v>
      </c>
      <c r="N91" s="9"/>
      <c r="O91" s="9"/>
      <c r="P91" s="9"/>
      <c r="Q91" s="9"/>
      <c r="R91" s="46"/>
      <c r="S91" s="46"/>
      <c r="T91" s="46"/>
      <c r="U91" s="46"/>
      <c r="V91" s="46"/>
      <c r="W91" s="46"/>
      <c r="X91" s="46"/>
      <c r="Y91" s="46"/>
    </row>
    <row r="92" spans="1:25" ht="12.75" hidden="1" customHeight="1" outlineLevel="1">
      <c r="A92" s="9"/>
      <c r="B92" s="9"/>
      <c r="C92" s="541" t="s">
        <v>28</v>
      </c>
      <c r="D92" s="542"/>
      <c r="E92" s="256">
        <f ca="1">A7value-SUM('Actual RAB roll forward'!H122:OFFSET('Actual RAB roll forward'!H122,0,Input!$Y$7-1))</f>
        <v>2.8592095410652725</v>
      </c>
      <c r="F92" s="256">
        <f>IF(A7remlife="N/A",0,A7remlife-Input!$Y$7)</f>
        <v>1.5683580337595595</v>
      </c>
      <c r="G92" s="257"/>
      <c r="H92" s="256">
        <f ca="1">IF($F92=0,0,IF($F92-(H$6-$H$6)&lt;0,0,IF($F92-(H$6-$H$6)&lt;1,($F92-ROUNDDOWN($F92,0))*$E92/$F92,$E92/$F92)))</f>
        <v>1.8230591991876834</v>
      </c>
      <c r="I92" s="256">
        <f ca="1">IF($F92=0,0,IF($F92-(I$6-$H$6)&lt;0,0,IF($F92-(I$6-$H$6)&lt;1,($F92-ROUNDDOWN($F92,0))*$E92/$F92,$E92/$F92)))</f>
        <v>1.036150341877589</v>
      </c>
      <c r="J92" s="256">
        <f>IF($F92=0,0,IF($F92-(J$6-$H$6)&lt;0,0,IF($F92-(J$6-$H$6)&lt;1,($F92-ROUNDDOWN($F92,0))*$E92/$F92,$E92/$F92)))</f>
        <v>0</v>
      </c>
      <c r="K92" s="256">
        <f>IF($F92=0,0,IF($F92-(K$6-$H$6)&lt;0,0,IF($F92-(K$6-$H$6)&lt;1,($F92-ROUNDDOWN($F92,0))*$E92/$F92,$E92/$F92)))</f>
        <v>0</v>
      </c>
      <c r="L92" s="256">
        <f>IF($F92=0,0,IF($F92-(L$6-$H$6)&lt;0,0,IF($F92-(L$6-$H$6)&lt;1,($F92-ROUNDDOWN($F92,0))*$E92/$F92,$E92/$F92)))</f>
        <v>0</v>
      </c>
      <c r="M92" s="256">
        <f ca="1">IF(SUM(H92:L92)=0,0,IF(AND(SUM(H92:L92)=E92,A5stdlife="n/a"),A5remlife-Input!$Y$7,E92/(SUM(H92:L92)/COUNTIF(H92:L92,"&gt;0"))))</f>
        <v>2</v>
      </c>
      <c r="N92" s="9"/>
      <c r="O92" s="9"/>
      <c r="P92" s="9"/>
      <c r="Q92" s="9"/>
      <c r="R92" s="46"/>
      <c r="S92" s="46"/>
      <c r="T92" s="46"/>
      <c r="U92" s="46"/>
      <c r="V92" s="46"/>
      <c r="W92" s="46"/>
      <c r="X92" s="46"/>
      <c r="Y92" s="46"/>
    </row>
    <row r="93" spans="1:25" ht="12.75" hidden="1" customHeight="1" outlineLevel="1">
      <c r="A93" s="9"/>
      <c r="B93" s="9"/>
      <c r="C93" s="538" t="s">
        <v>86</v>
      </c>
      <c r="D93" s="87">
        <v>1</v>
      </c>
      <c r="E93" s="256">
        <f ca="1">OFFSET('Actual RAB roll forward'!H$18,0,D93-1)-SUM('Actual RAB roll forward'!H124:OFFSET('Actual RAB roll forward'!H124,0,Input!$Y$7-1))</f>
        <v>0.56806940243801862</v>
      </c>
      <c r="F93" s="256">
        <f ca="1">IF(A7stdlife="N/A",0,IF(E93=0,0,A7stdlife+D93-Input!$Y$7))</f>
        <v>6</v>
      </c>
      <c r="G93" s="257"/>
      <c r="H93" s="256">
        <f t="shared" ref="H93:L102" ca="1" si="12">IF($F93=0,0,IF($F93-(H$6-$H$6)&lt;0,0,IF($F93-(H$6-$H$6)&lt;1,($F93-ROUNDDOWN($F93,0))*$E93/$F93,$E93/$F93)))</f>
        <v>9.467823373966977E-2</v>
      </c>
      <c r="I93" s="256">
        <f t="shared" ca="1" si="12"/>
        <v>9.467823373966977E-2</v>
      </c>
      <c r="J93" s="256">
        <f t="shared" ca="1" si="12"/>
        <v>9.467823373966977E-2</v>
      </c>
      <c r="K93" s="256">
        <f t="shared" ca="1" si="12"/>
        <v>9.467823373966977E-2</v>
      </c>
      <c r="L93" s="256">
        <f t="shared" ca="1" si="12"/>
        <v>9.467823373966977E-2</v>
      </c>
      <c r="M93" s="256">
        <f ca="1">IF(SUM(H93:L93)=0,0,IF(AND(SUM(H93:L93)=E93,A5stdlife="n/a"),A5remlife-Input!$Y$7,E93/(SUM(H93:L93)/COUNTIF(H93:L93,"&gt;0"))))</f>
        <v>6</v>
      </c>
      <c r="N93" s="9"/>
      <c r="O93" s="9"/>
      <c r="P93" s="9"/>
      <c r="Q93" s="9"/>
      <c r="R93" s="46"/>
      <c r="S93" s="46"/>
      <c r="T93" s="46"/>
      <c r="U93" s="46"/>
      <c r="V93" s="46"/>
      <c r="W93" s="46"/>
      <c r="X93" s="46"/>
      <c r="Y93" s="46"/>
    </row>
    <row r="94" spans="1:25" hidden="1" outlineLevel="1">
      <c r="A94" s="9"/>
      <c r="B94" s="9"/>
      <c r="C94" s="539"/>
      <c r="D94" s="87">
        <v>2</v>
      </c>
      <c r="E94" s="256">
        <f ca="1">OFFSET('Actual RAB roll forward'!H$18,0,D94-1)-SUM('Actual RAB roll forward'!H125:OFFSET('Actual RAB roll forward'!H125,0,Input!$Y$7-1))</f>
        <v>0.15288132688112022</v>
      </c>
      <c r="F94" s="256">
        <f ca="1">IF(A7stdlife="N/A",0,IF(E94=0,0,A7stdlife+D94-Input!$Y$7))</f>
        <v>7</v>
      </c>
      <c r="G94" s="257"/>
      <c r="H94" s="256">
        <f t="shared" ca="1" si="12"/>
        <v>2.1840189554445746E-2</v>
      </c>
      <c r="I94" s="256">
        <f t="shared" ca="1" si="12"/>
        <v>2.1840189554445746E-2</v>
      </c>
      <c r="J94" s="256">
        <f t="shared" ca="1" si="12"/>
        <v>2.1840189554445746E-2</v>
      </c>
      <c r="K94" s="256">
        <f t="shared" ca="1" si="12"/>
        <v>2.1840189554445746E-2</v>
      </c>
      <c r="L94" s="256">
        <f t="shared" ca="1" si="12"/>
        <v>2.1840189554445746E-2</v>
      </c>
      <c r="M94" s="256">
        <f ca="1">IF(SUM(H94:L94)=0,0,IF(AND(SUM(H94:L94)=E94,A5stdlife="n/a"),A5remlife-Input!$Y$7,E94/(SUM(H94:L94)/COUNTIF(H94:L94,"&gt;0"))))</f>
        <v>7</v>
      </c>
      <c r="N94" s="9"/>
      <c r="O94" s="9"/>
      <c r="P94" s="9"/>
      <c r="Q94" s="9"/>
      <c r="R94" s="46"/>
      <c r="S94" s="46"/>
      <c r="T94" s="46"/>
      <c r="U94" s="46"/>
      <c r="V94" s="46"/>
      <c r="W94" s="46"/>
      <c r="X94" s="46"/>
      <c r="Y94" s="46"/>
    </row>
    <row r="95" spans="1:25" hidden="1" outlineLevel="1">
      <c r="A95" s="9"/>
      <c r="B95" s="9"/>
      <c r="C95" s="539"/>
      <c r="D95" s="87">
        <v>3</v>
      </c>
      <c r="E95" s="256">
        <f ca="1">OFFSET('Actual RAB roll forward'!H$18,0,D95-1)-SUM('Actual RAB roll forward'!H126:OFFSET('Actual RAB roll forward'!H126,0,Input!$Y$7-1))</f>
        <v>1.9456057618309219</v>
      </c>
      <c r="F95" s="256">
        <f ca="1">IF(A7stdlife="N/A",0,IF(E95=0,0,A7stdlife+D95-Input!$Y$7))</f>
        <v>8</v>
      </c>
      <c r="G95" s="257"/>
      <c r="H95" s="256">
        <f t="shared" ca="1" si="12"/>
        <v>0.24320072022886524</v>
      </c>
      <c r="I95" s="256">
        <f t="shared" ca="1" si="12"/>
        <v>0.24320072022886524</v>
      </c>
      <c r="J95" s="256">
        <f t="shared" ca="1" si="12"/>
        <v>0.24320072022886524</v>
      </c>
      <c r="K95" s="256">
        <f t="shared" ca="1" si="12"/>
        <v>0.24320072022886524</v>
      </c>
      <c r="L95" s="256">
        <f t="shared" ca="1" si="12"/>
        <v>0.24320072022886524</v>
      </c>
      <c r="M95" s="256">
        <f ca="1">IF(SUM(H95:L95)=0,0,IF(AND(SUM(H95:L95)=E95,A5stdlife="n/a"),A5remlife-Input!$Y$7,E95/(SUM(H95:L95)/COUNTIF(H95:L95,"&gt;0"))))</f>
        <v>8</v>
      </c>
      <c r="N95" s="9"/>
      <c r="O95" s="9"/>
      <c r="P95" s="9"/>
      <c r="Q95" s="9"/>
      <c r="R95" s="46"/>
      <c r="S95" s="46"/>
      <c r="T95" s="46"/>
      <c r="U95" s="46"/>
      <c r="V95" s="46"/>
      <c r="W95" s="46"/>
      <c r="X95" s="46"/>
      <c r="Y95" s="46"/>
    </row>
    <row r="96" spans="1:25" hidden="1" outlineLevel="1">
      <c r="A96" s="9"/>
      <c r="B96" s="9"/>
      <c r="C96" s="539"/>
      <c r="D96" s="87">
        <v>4</v>
      </c>
      <c r="E96" s="256">
        <f ca="1">OFFSET('Actual RAB roll forward'!H$18,0,D96-1)-SUM('Actual RAB roll forward'!H127:OFFSET('Actual RAB roll forward'!H127,0,Input!$Y$7-1))</f>
        <v>4.1673961621315376</v>
      </c>
      <c r="F96" s="256">
        <f ca="1">IF(A7stdlife="N/A",0,IF(E96=0,0,A7stdlife+D96-Input!$Y$7))</f>
        <v>9</v>
      </c>
      <c r="G96" s="257"/>
      <c r="H96" s="256">
        <f t="shared" ca="1" si="12"/>
        <v>0.46304401801461531</v>
      </c>
      <c r="I96" s="256">
        <f t="shared" ca="1" si="12"/>
        <v>0.46304401801461531</v>
      </c>
      <c r="J96" s="256">
        <f t="shared" ca="1" si="12"/>
        <v>0.46304401801461531</v>
      </c>
      <c r="K96" s="256">
        <f t="shared" ca="1" si="12"/>
        <v>0.46304401801461531</v>
      </c>
      <c r="L96" s="256">
        <f t="shared" ca="1" si="12"/>
        <v>0.46304401801461531</v>
      </c>
      <c r="M96" s="256">
        <f ca="1">IF(SUM(H96:L96)=0,0,IF(AND(SUM(H96:L96)=E96,A5stdlife="n/a"),A5remlife-Input!$Y$7,E96/(SUM(H96:L96)/COUNTIF(H96:L96,"&gt;0"))))</f>
        <v>9</v>
      </c>
      <c r="N96" s="9"/>
      <c r="O96" s="9"/>
      <c r="P96" s="9"/>
      <c r="Q96" s="9"/>
      <c r="R96" s="46"/>
      <c r="S96" s="46"/>
      <c r="T96" s="46"/>
      <c r="U96" s="46"/>
      <c r="V96" s="46"/>
      <c r="W96" s="46"/>
      <c r="X96" s="46"/>
      <c r="Y96" s="46"/>
    </row>
    <row r="97" spans="1:25" hidden="1" outlineLevel="1">
      <c r="A97" s="9"/>
      <c r="B97" s="9"/>
      <c r="C97" s="539"/>
      <c r="D97" s="87">
        <v>5</v>
      </c>
      <c r="E97" s="256">
        <f ca="1">OFFSET('Actual RAB roll forward'!H$18,0,D97-1)-SUM('Actual RAB roll forward'!H128:OFFSET('Actual RAB roll forward'!H128,0,Input!$Y$7-1))</f>
        <v>2.4892780518989048</v>
      </c>
      <c r="F97" s="256">
        <f ca="1">IF(A7stdlife="N/A",0,IF(E97=0,0,A7stdlife+D97-Input!$Y$7))</f>
        <v>10</v>
      </c>
      <c r="G97" s="257"/>
      <c r="H97" s="256">
        <f t="shared" ca="1" si="12"/>
        <v>0.24892780518989049</v>
      </c>
      <c r="I97" s="256">
        <f t="shared" ca="1" si="12"/>
        <v>0.24892780518989049</v>
      </c>
      <c r="J97" s="256">
        <f t="shared" ca="1" si="12"/>
        <v>0.24892780518989049</v>
      </c>
      <c r="K97" s="256">
        <f t="shared" ca="1" si="12"/>
        <v>0.24892780518989049</v>
      </c>
      <c r="L97" s="256">
        <f t="shared" ca="1" si="12"/>
        <v>0.24892780518989049</v>
      </c>
      <c r="M97" s="256">
        <f ca="1">IF(SUM(H97:L97)=0,0,IF(AND(SUM(H97:L97)=E97,A5stdlife="n/a"),A5remlife-Input!$Y$7,E97/(SUM(H97:L97)/COUNTIF(H97:L97,"&gt;0"))))</f>
        <v>10</v>
      </c>
      <c r="N97" s="9"/>
      <c r="O97" s="9"/>
      <c r="P97" s="9"/>
      <c r="Q97" s="9"/>
      <c r="R97" s="46"/>
      <c r="S97" s="46"/>
      <c r="T97" s="46"/>
      <c r="U97" s="46"/>
      <c r="V97" s="46"/>
      <c r="W97" s="46"/>
      <c r="X97" s="46"/>
      <c r="Y97" s="46"/>
    </row>
    <row r="98" spans="1:25" hidden="1" outlineLevel="1">
      <c r="A98" s="9"/>
      <c r="B98" s="9"/>
      <c r="C98" s="539"/>
      <c r="D98" s="87">
        <v>6</v>
      </c>
      <c r="E98" s="256">
        <f ca="1">OFFSET('Actual RAB roll forward'!H$18,0,D98-1)-SUM('Actual RAB roll forward'!H129:OFFSET('Actual RAB roll forward'!H129,0,Input!$Y$7-1))</f>
        <v>0</v>
      </c>
      <c r="F98" s="256">
        <f ca="1">IF(A7stdlife="N/A",0,IF(E98=0,0,A7stdlife+D98-Input!$Y$7))</f>
        <v>0</v>
      </c>
      <c r="G98" s="257"/>
      <c r="H98" s="256">
        <f t="shared" ca="1" si="12"/>
        <v>0</v>
      </c>
      <c r="I98" s="256">
        <f t="shared" ca="1" si="12"/>
        <v>0</v>
      </c>
      <c r="J98" s="256">
        <f t="shared" ca="1" si="12"/>
        <v>0</v>
      </c>
      <c r="K98" s="256">
        <f t="shared" ca="1" si="12"/>
        <v>0</v>
      </c>
      <c r="L98" s="256">
        <f t="shared" ca="1" si="12"/>
        <v>0</v>
      </c>
      <c r="M98" s="256">
        <f ca="1">IF(SUM(H98:L98)=0,0,IF(AND(SUM(H98:L98)=E98,A5stdlife="n/a"),A5remlife-Input!$Y$7,E98/(SUM(H98:L98)/COUNTIF(H98:L98,"&gt;0"))))</f>
        <v>0</v>
      </c>
      <c r="N98" s="9"/>
      <c r="O98" s="9"/>
      <c r="P98" s="9"/>
      <c r="Q98" s="9"/>
      <c r="R98" s="46"/>
      <c r="S98" s="46"/>
      <c r="T98" s="46"/>
      <c r="U98" s="46"/>
      <c r="V98" s="46"/>
      <c r="W98" s="46"/>
      <c r="X98" s="46"/>
      <c r="Y98" s="46"/>
    </row>
    <row r="99" spans="1:25" hidden="1" outlineLevel="1">
      <c r="A99" s="9"/>
      <c r="B99" s="9"/>
      <c r="C99" s="539"/>
      <c r="D99" s="87">
        <v>7</v>
      </c>
      <c r="E99" s="256">
        <f ca="1">OFFSET('Actual RAB roll forward'!H$18,0,D99-1)-SUM('Actual RAB roll forward'!H130:OFFSET('Actual RAB roll forward'!H130,0,Input!$Y$7-1))</f>
        <v>0</v>
      </c>
      <c r="F99" s="256">
        <f ca="1">IF(A7stdlife="N/A",0,IF(E99=0,0,A7stdlife+D99-Input!$Y$7))</f>
        <v>0</v>
      </c>
      <c r="G99" s="257"/>
      <c r="H99" s="256">
        <f t="shared" ca="1" si="12"/>
        <v>0</v>
      </c>
      <c r="I99" s="256">
        <f t="shared" ca="1" si="12"/>
        <v>0</v>
      </c>
      <c r="J99" s="256">
        <f t="shared" ca="1" si="12"/>
        <v>0</v>
      </c>
      <c r="K99" s="256">
        <f t="shared" ca="1" si="12"/>
        <v>0</v>
      </c>
      <c r="L99" s="256">
        <f t="shared" ca="1" si="12"/>
        <v>0</v>
      </c>
      <c r="M99" s="256">
        <f ca="1">IF(SUM(H99:L99)=0,0,IF(AND(SUM(H99:L99)=E99,A5stdlife="n/a"),A5remlife-Input!$Y$7,E99/(SUM(H99:L99)/COUNTIF(H99:L99,"&gt;0"))))</f>
        <v>0</v>
      </c>
      <c r="N99" s="9"/>
      <c r="O99" s="9"/>
      <c r="P99" s="9"/>
      <c r="Q99" s="9"/>
      <c r="R99" s="46"/>
      <c r="S99" s="46"/>
      <c r="T99" s="46"/>
      <c r="U99" s="46"/>
      <c r="V99" s="46"/>
      <c r="W99" s="46"/>
      <c r="X99" s="46"/>
      <c r="Y99" s="46"/>
    </row>
    <row r="100" spans="1:25" hidden="1" outlineLevel="1">
      <c r="A100" s="9"/>
      <c r="B100" s="9"/>
      <c r="C100" s="539"/>
      <c r="D100" s="87">
        <v>8</v>
      </c>
      <c r="E100" s="256">
        <f ca="1">OFFSET('Actual RAB roll forward'!H$18,0,D100-1)-SUM('Actual RAB roll forward'!H131:OFFSET('Actual RAB roll forward'!H131,0,Input!$Y$7-1))</f>
        <v>0</v>
      </c>
      <c r="F100" s="256">
        <f ca="1">IF(A7stdlife="N/A",0,IF(E100=0,0,A7stdlife+D100-Input!$Y$7))</f>
        <v>0</v>
      </c>
      <c r="G100" s="257"/>
      <c r="H100" s="256">
        <f t="shared" ca="1" si="12"/>
        <v>0</v>
      </c>
      <c r="I100" s="256">
        <f t="shared" ca="1" si="12"/>
        <v>0</v>
      </c>
      <c r="J100" s="256">
        <f t="shared" ca="1" si="12"/>
        <v>0</v>
      </c>
      <c r="K100" s="256">
        <f t="shared" ca="1" si="12"/>
        <v>0</v>
      </c>
      <c r="L100" s="256">
        <f t="shared" ca="1" si="12"/>
        <v>0</v>
      </c>
      <c r="M100" s="256">
        <f ca="1">IF(SUM(H100:L100)=0,0,IF(AND(SUM(H100:L100)=E100,A5stdlife="n/a"),A5remlife-Input!$Y$7,E100/(SUM(H100:L100)/COUNTIF(H100:L100,"&gt;0"))))</f>
        <v>0</v>
      </c>
      <c r="N100" s="9"/>
      <c r="O100" s="9"/>
      <c r="P100" s="9"/>
      <c r="Q100" s="9"/>
      <c r="R100" s="46"/>
      <c r="S100" s="46"/>
      <c r="T100" s="46"/>
      <c r="U100" s="46"/>
      <c r="V100" s="46"/>
      <c r="W100" s="46"/>
      <c r="X100" s="46"/>
      <c r="Y100" s="46"/>
    </row>
    <row r="101" spans="1:25" hidden="1" outlineLevel="1">
      <c r="A101" s="9"/>
      <c r="B101" s="9"/>
      <c r="C101" s="539"/>
      <c r="D101" s="87">
        <v>9</v>
      </c>
      <c r="E101" s="256">
        <f ca="1">OFFSET('Actual RAB roll forward'!H$18,0,D101-1)-SUM('Actual RAB roll forward'!H132:OFFSET('Actual RAB roll forward'!H132,0,Input!$Y$7-1))</f>
        <v>0</v>
      </c>
      <c r="F101" s="256">
        <f ca="1">IF(A7stdlife="N/A",0,IF(E101=0,0,A7stdlife+D101-Input!$Y$7))</f>
        <v>0</v>
      </c>
      <c r="G101" s="257"/>
      <c r="H101" s="256">
        <f t="shared" ca="1" si="12"/>
        <v>0</v>
      </c>
      <c r="I101" s="256">
        <f t="shared" ca="1" si="12"/>
        <v>0</v>
      </c>
      <c r="J101" s="256">
        <f t="shared" ca="1" si="12"/>
        <v>0</v>
      </c>
      <c r="K101" s="256">
        <f t="shared" ca="1" si="12"/>
        <v>0</v>
      </c>
      <c r="L101" s="256">
        <f t="shared" ca="1" si="12"/>
        <v>0</v>
      </c>
      <c r="M101" s="256">
        <f ca="1">IF(SUM(H101:L101)=0,0,IF(AND(SUM(H101:L101)=E101,A5stdlife="n/a"),A5remlife-Input!$Y$7,E101/(SUM(H101:L101)/COUNTIF(H101:L101,"&gt;0"))))</f>
        <v>0</v>
      </c>
      <c r="N101" s="9"/>
      <c r="O101" s="9"/>
      <c r="P101" s="9"/>
      <c r="Q101" s="9"/>
      <c r="R101" s="46"/>
      <c r="S101" s="46"/>
      <c r="T101" s="46"/>
      <c r="U101" s="46"/>
      <c r="V101" s="46"/>
      <c r="W101" s="46"/>
      <c r="X101" s="46"/>
      <c r="Y101" s="46"/>
    </row>
    <row r="102" spans="1:25" hidden="1" outlineLevel="1">
      <c r="A102" s="9"/>
      <c r="B102" s="9"/>
      <c r="C102" s="540"/>
      <c r="D102" s="88">
        <v>10</v>
      </c>
      <c r="E102" s="256">
        <f ca="1">OFFSET('Actual RAB roll forward'!H$18,0,D102-1)-SUM('Actual RAB roll forward'!H133:OFFSET('Actual RAB roll forward'!H133,0,Input!$Y$7-1))</f>
        <v>0</v>
      </c>
      <c r="F102" s="256">
        <f ca="1">IF(A7stdlife="N/A",0,IF(E102=0,0,A7stdlife+D102-Input!$Y$7))</f>
        <v>0</v>
      </c>
      <c r="G102" s="257"/>
      <c r="H102" s="256">
        <f t="shared" ca="1" si="12"/>
        <v>0</v>
      </c>
      <c r="I102" s="256">
        <f t="shared" ca="1" si="12"/>
        <v>0</v>
      </c>
      <c r="J102" s="256">
        <f t="shared" ca="1" si="12"/>
        <v>0</v>
      </c>
      <c r="K102" s="256">
        <f t="shared" ca="1" si="12"/>
        <v>0</v>
      </c>
      <c r="L102" s="256">
        <f t="shared" ca="1" si="12"/>
        <v>0</v>
      </c>
      <c r="M102" s="256">
        <f ca="1">IF(SUM(H102:L102)=0,0,IF(AND(SUM(H102:L102)=E102,A5stdlife="n/a"),A5remlife-Input!$Y$7,E102/(SUM(H102:L102)/COUNTIF(H102:L102,"&gt;0"))))</f>
        <v>0</v>
      </c>
      <c r="N102" s="9"/>
      <c r="O102" s="9"/>
      <c r="P102" s="9"/>
      <c r="Q102" s="9"/>
      <c r="R102" s="46"/>
      <c r="S102" s="46"/>
      <c r="T102" s="46"/>
      <c r="U102" s="46"/>
      <c r="V102" s="46"/>
      <c r="W102" s="46"/>
      <c r="X102" s="46"/>
      <c r="Y102" s="46"/>
    </row>
    <row r="103" spans="1:25" collapsed="1">
      <c r="A103" s="9"/>
      <c r="B103" s="9"/>
      <c r="C103" s="264" t="str">
        <f>Asset7</f>
        <v>Non-network general assets - Other</v>
      </c>
      <c r="D103" s="9"/>
      <c r="E103" s="256">
        <f ca="1">SUM(E92:E102)</f>
        <v>12.182440246245777</v>
      </c>
      <c r="F103" s="516">
        <f ca="1">IF(E103=0,0,SUMPRODUCT(E92:E102,F92:F102)/E103)</f>
        <v>7.1354375865981314</v>
      </c>
      <c r="G103" s="257"/>
      <c r="H103" s="256">
        <f t="shared" ref="H103:L103" ca="1" si="13">SUM(H92:H102)</f>
        <v>2.8947501659151698</v>
      </c>
      <c r="I103" s="256">
        <f t="shared" ca="1" si="13"/>
        <v>2.1078413086050758</v>
      </c>
      <c r="J103" s="256">
        <f t="shared" ca="1" si="13"/>
        <v>1.0716909667274865</v>
      </c>
      <c r="K103" s="256">
        <f t="shared" ca="1" si="13"/>
        <v>1.0716909667274865</v>
      </c>
      <c r="L103" s="256">
        <f t="shared" ca="1" si="13"/>
        <v>1.0716909667274865</v>
      </c>
      <c r="M103" s="256">
        <f ca="1">IF(SUM(H103:L103)=0,0,IF(AND(SUM(H103:L103)=E103,A7stdlife="n/a"),A7remlife-Input!$Y$7,E103/(SUM(H103:L103)/COUNTIF(H103:L103,"&gt;0"))))</f>
        <v>7.4123495988399428</v>
      </c>
      <c r="N103" s="9"/>
      <c r="O103" s="9"/>
      <c r="P103" s="9"/>
      <c r="Q103" s="9"/>
      <c r="R103" s="46"/>
      <c r="S103" s="46"/>
      <c r="T103" s="46"/>
      <c r="U103" s="46"/>
      <c r="V103" s="46"/>
      <c r="W103" s="46"/>
      <c r="X103" s="46"/>
      <c r="Y103" s="46"/>
    </row>
    <row r="104" spans="1:25" hidden="1" outlineLevel="1">
      <c r="A104" s="9"/>
      <c r="B104" s="9"/>
      <c r="C104" s="264"/>
      <c r="D104" s="9"/>
      <c r="E104" s="256"/>
      <c r="F104" s="256"/>
      <c r="G104" s="257"/>
      <c r="H104" s="256"/>
      <c r="I104" s="256"/>
      <c r="J104" s="256"/>
      <c r="K104" s="256"/>
      <c r="L104" s="256"/>
      <c r="M104" s="256">
        <f>IF(SUM(H104:L104)=0,0,IF(AND(SUM(H104:L104)=E104,A5stdlife="n/a"),A5remlife-Input!$Y$7,E104/(SUM(H104:L104)/COUNTIF(H104:L104,"&gt;0"))))</f>
        <v>0</v>
      </c>
      <c r="N104" s="9"/>
      <c r="O104" s="9"/>
      <c r="P104" s="9"/>
      <c r="Q104" s="9"/>
      <c r="R104" s="46"/>
      <c r="S104" s="46"/>
      <c r="T104" s="46"/>
      <c r="U104" s="46"/>
      <c r="V104" s="46"/>
      <c r="W104" s="46"/>
      <c r="X104" s="46"/>
      <c r="Y104" s="46"/>
    </row>
    <row r="105" spans="1:25" hidden="1" outlineLevel="1">
      <c r="A105" s="9"/>
      <c r="B105" s="255" t="str">
        <f>Asset8</f>
        <v>VBRC</v>
      </c>
      <c r="C105" s="9"/>
      <c r="D105" s="9"/>
      <c r="E105" s="256"/>
      <c r="F105" s="256"/>
      <c r="G105" s="257"/>
      <c r="H105" s="256"/>
      <c r="I105" s="256"/>
      <c r="J105" s="256"/>
      <c r="K105" s="256"/>
      <c r="L105" s="256"/>
      <c r="M105" s="256">
        <f>IF(SUM(H105:L105)=0,0,IF(AND(SUM(H105:L105)=E105,A5stdlife="n/a"),A5remlife-Input!$Y$7,E105/(SUM(H105:L105)/COUNTIF(H105:L105,"&gt;0"))))</f>
        <v>0</v>
      </c>
      <c r="N105" s="9"/>
      <c r="O105" s="9"/>
      <c r="P105" s="9"/>
      <c r="Q105" s="9"/>
      <c r="R105" s="46"/>
      <c r="S105" s="46"/>
      <c r="T105" s="46"/>
      <c r="U105" s="46"/>
      <c r="V105" s="46"/>
      <c r="W105" s="46"/>
      <c r="X105" s="46"/>
      <c r="Y105" s="46"/>
    </row>
    <row r="106" spans="1:25" ht="12.75" hidden="1" customHeight="1" outlineLevel="1">
      <c r="A106" s="9"/>
      <c r="B106" s="9"/>
      <c r="C106" s="541" t="s">
        <v>28</v>
      </c>
      <c r="D106" s="542"/>
      <c r="E106" s="256">
        <f ca="1">A8value-SUM('Actual RAB roll forward'!H135:OFFSET('Actual RAB roll forward'!H135,0,Input!$Y$7-1))</f>
        <v>0</v>
      </c>
      <c r="F106" s="256">
        <f>IF(A8remlife="N/A",0,A8remlife-Input!$Y$7)</f>
        <v>0</v>
      </c>
      <c r="G106" s="257"/>
      <c r="H106" s="256"/>
      <c r="I106" s="256"/>
      <c r="J106" s="256"/>
      <c r="K106" s="256"/>
      <c r="L106" s="256"/>
      <c r="M106" s="256">
        <f>IF(SUM(H106:L106)=0,0,IF(AND(SUM(H106:L106)=E106,A5stdlife="n/a"),A5remlife-Input!$Y$7,E106/(SUM(H106:L106)/COUNTIF(H106:L106,"&gt;0"))))</f>
        <v>0</v>
      </c>
      <c r="N106" s="9"/>
      <c r="O106" s="9"/>
      <c r="P106" s="9"/>
      <c r="Q106" s="9"/>
      <c r="R106" s="46"/>
      <c r="S106" s="46"/>
      <c r="T106" s="46"/>
      <c r="U106" s="46"/>
      <c r="V106" s="46"/>
      <c r="W106" s="46"/>
      <c r="X106" s="46"/>
      <c r="Y106" s="46"/>
    </row>
    <row r="107" spans="1:25" ht="12.75" hidden="1" customHeight="1" outlineLevel="1">
      <c r="A107" s="9"/>
      <c r="B107" s="9"/>
      <c r="C107" s="538" t="s">
        <v>86</v>
      </c>
      <c r="D107" s="87">
        <v>1</v>
      </c>
      <c r="E107" s="256">
        <f ca="1">OFFSET('Actual RAB roll forward'!H$19,0,D107-1)-SUM('Actual RAB roll forward'!H137:OFFSET('Actual RAB roll forward'!H137,0,Input!$Y$7-1))</f>
        <v>0</v>
      </c>
      <c r="F107" s="256">
        <f ca="1">IF(A8stdlife="N/A",0,IF(E107=0,0,A8stdlife+D107-Input!$Y$7))</f>
        <v>0</v>
      </c>
      <c r="G107" s="257"/>
      <c r="H107" s="256">
        <f t="shared" ref="H107:L116" ca="1" si="14">IF($F107=0,0,IF($F107-(H$6-$H$6)&lt;0,0,IF($F107-(H$6-$H$6)&lt;1,($F107-ROUNDDOWN($F107,0))*$E107/$F107,$E107/$F107)))</f>
        <v>0</v>
      </c>
      <c r="I107" s="256">
        <f t="shared" ca="1" si="14"/>
        <v>0</v>
      </c>
      <c r="J107" s="256">
        <f t="shared" ca="1" si="14"/>
        <v>0</v>
      </c>
      <c r="K107" s="256">
        <f t="shared" ca="1" si="14"/>
        <v>0</v>
      </c>
      <c r="L107" s="256">
        <f t="shared" ca="1" si="14"/>
        <v>0</v>
      </c>
      <c r="M107" s="256">
        <f ca="1">IF(SUM(H107:L107)=0,0,IF(AND(SUM(H107:L107)=E107,A5stdlife="n/a"),A5remlife-Input!$Y$7,E107/(SUM(H107:L107)/COUNTIF(H107:L107,"&gt;0"))))</f>
        <v>0</v>
      </c>
      <c r="N107" s="9"/>
      <c r="O107" s="9"/>
      <c r="P107" s="9"/>
      <c r="Q107" s="9"/>
      <c r="R107" s="46"/>
      <c r="S107" s="46"/>
      <c r="T107" s="46"/>
      <c r="U107" s="46"/>
      <c r="V107" s="46"/>
      <c r="W107" s="46"/>
      <c r="X107" s="46"/>
      <c r="Y107" s="46"/>
    </row>
    <row r="108" spans="1:25" hidden="1" outlineLevel="1">
      <c r="A108" s="9"/>
      <c r="B108" s="9"/>
      <c r="C108" s="539"/>
      <c r="D108" s="87">
        <v>2</v>
      </c>
      <c r="E108" s="256">
        <f ca="1">OFFSET('Actual RAB roll forward'!H$19,0,D108-1)-SUM('Actual RAB roll forward'!H138:OFFSET('Actual RAB roll forward'!H138,0,Input!$Y$7-1))</f>
        <v>0</v>
      </c>
      <c r="F108" s="256">
        <f ca="1">IF(A8stdlife="N/A",0,IF(E108=0,0,A8stdlife+D108-Input!$Y$7))</f>
        <v>0</v>
      </c>
      <c r="G108" s="257"/>
      <c r="H108" s="256">
        <f t="shared" ca="1" si="14"/>
        <v>0</v>
      </c>
      <c r="I108" s="256">
        <f t="shared" ca="1" si="14"/>
        <v>0</v>
      </c>
      <c r="J108" s="256">
        <f t="shared" ca="1" si="14"/>
        <v>0</v>
      </c>
      <c r="K108" s="256">
        <f t="shared" ca="1" si="14"/>
        <v>0</v>
      </c>
      <c r="L108" s="256">
        <f t="shared" ca="1" si="14"/>
        <v>0</v>
      </c>
      <c r="M108" s="256">
        <f ca="1">IF(SUM(H108:L108)=0,0,IF(AND(SUM(H108:L108)=E108,A5stdlife="n/a"),A5remlife-Input!$Y$7,E108/(SUM(H108:L108)/COUNTIF(H108:L108,"&gt;0"))))</f>
        <v>0</v>
      </c>
      <c r="N108" s="9"/>
      <c r="O108" s="9"/>
      <c r="P108" s="9"/>
      <c r="Q108" s="9"/>
      <c r="R108" s="46"/>
      <c r="S108" s="46"/>
      <c r="T108" s="46"/>
      <c r="U108" s="46"/>
      <c r="V108" s="46"/>
      <c r="W108" s="46"/>
      <c r="X108" s="46"/>
      <c r="Y108" s="46"/>
    </row>
    <row r="109" spans="1:25" hidden="1" outlineLevel="1">
      <c r="A109" s="9"/>
      <c r="B109" s="9"/>
      <c r="C109" s="539"/>
      <c r="D109" s="87">
        <v>3</v>
      </c>
      <c r="E109" s="256">
        <f ca="1">OFFSET('Actual RAB roll forward'!H$19,0,D109-1)-SUM('Actual RAB roll forward'!H139:OFFSET('Actual RAB roll forward'!H139,0,Input!$Y$7-1))</f>
        <v>0</v>
      </c>
      <c r="F109" s="256">
        <f ca="1">IF(A8stdlife="N/A",0,IF(E109=0,0,A8stdlife+D109-Input!$Y$7))</f>
        <v>0</v>
      </c>
      <c r="G109" s="257"/>
      <c r="H109" s="256">
        <f t="shared" ca="1" si="14"/>
        <v>0</v>
      </c>
      <c r="I109" s="256">
        <f t="shared" ca="1" si="14"/>
        <v>0</v>
      </c>
      <c r="J109" s="256">
        <f t="shared" ca="1" si="14"/>
        <v>0</v>
      </c>
      <c r="K109" s="256">
        <f t="shared" ca="1" si="14"/>
        <v>0</v>
      </c>
      <c r="L109" s="256">
        <f t="shared" ca="1" si="14"/>
        <v>0</v>
      </c>
      <c r="M109" s="256">
        <f ca="1">IF(SUM(H109:L109)=0,0,IF(AND(SUM(H109:L109)=E109,A5stdlife="n/a"),A5remlife-Input!$Y$7,E109/(SUM(H109:L109)/COUNTIF(H109:L109,"&gt;0"))))</f>
        <v>0</v>
      </c>
      <c r="N109" s="9"/>
      <c r="O109" s="9"/>
      <c r="P109" s="9"/>
      <c r="Q109" s="9"/>
      <c r="R109" s="46"/>
      <c r="S109" s="46"/>
      <c r="T109" s="46"/>
      <c r="U109" s="46"/>
      <c r="V109" s="46"/>
      <c r="W109" s="46"/>
      <c r="X109" s="46"/>
      <c r="Y109" s="46"/>
    </row>
    <row r="110" spans="1:25" hidden="1" outlineLevel="1">
      <c r="A110" s="9"/>
      <c r="B110" s="9"/>
      <c r="C110" s="539"/>
      <c r="D110" s="87">
        <v>4</v>
      </c>
      <c r="E110" s="256">
        <f ca="1">OFFSET('Actual RAB roll forward'!H$19,0,D110-1)-SUM('Actual RAB roll forward'!H140:OFFSET('Actual RAB roll forward'!H140,0,Input!$Y$7-1))</f>
        <v>0</v>
      </c>
      <c r="F110" s="256">
        <f ca="1">IF(A8stdlife="N/A",0,IF(E110=0,0,A8stdlife+D110-Input!$Y$7))</f>
        <v>0</v>
      </c>
      <c r="G110" s="257"/>
      <c r="H110" s="256">
        <f t="shared" ca="1" si="14"/>
        <v>0</v>
      </c>
      <c r="I110" s="256">
        <f t="shared" ca="1" si="14"/>
        <v>0</v>
      </c>
      <c r="J110" s="256">
        <f t="shared" ca="1" si="14"/>
        <v>0</v>
      </c>
      <c r="K110" s="256">
        <f t="shared" ca="1" si="14"/>
        <v>0</v>
      </c>
      <c r="L110" s="256">
        <f t="shared" ca="1" si="14"/>
        <v>0</v>
      </c>
      <c r="M110" s="256">
        <f ca="1">IF(SUM(H110:L110)=0,0,IF(AND(SUM(H110:L110)=E110,A5stdlife="n/a"),A5remlife-Input!$Y$7,E110/(SUM(H110:L110)/COUNTIF(H110:L110,"&gt;0"))))</f>
        <v>0</v>
      </c>
      <c r="N110" s="9"/>
      <c r="O110" s="9"/>
      <c r="P110" s="9"/>
      <c r="Q110" s="9"/>
      <c r="R110" s="46"/>
      <c r="S110" s="46"/>
      <c r="T110" s="46"/>
      <c r="U110" s="46"/>
      <c r="V110" s="46"/>
      <c r="W110" s="46"/>
      <c r="X110" s="46"/>
      <c r="Y110" s="46"/>
    </row>
    <row r="111" spans="1:25" hidden="1" outlineLevel="1">
      <c r="A111" s="9"/>
      <c r="B111" s="9"/>
      <c r="C111" s="539"/>
      <c r="D111" s="87">
        <v>5</v>
      </c>
      <c r="E111" s="256">
        <f ca="1">OFFSET('Actual RAB roll forward'!H$19,0,D111-1)-SUM('Actual RAB roll forward'!H141:OFFSET('Actual RAB roll forward'!H141,0,Input!$Y$7-1))</f>
        <v>0</v>
      </c>
      <c r="F111" s="256">
        <f ca="1">IF(A8stdlife="N/A",0,IF(E111=0,0,A8stdlife+D111-Input!$Y$7))</f>
        <v>0</v>
      </c>
      <c r="G111" s="257"/>
      <c r="H111" s="256">
        <f t="shared" ca="1" si="14"/>
        <v>0</v>
      </c>
      <c r="I111" s="256">
        <f t="shared" ca="1" si="14"/>
        <v>0</v>
      </c>
      <c r="J111" s="256">
        <f t="shared" ca="1" si="14"/>
        <v>0</v>
      </c>
      <c r="K111" s="256">
        <f t="shared" ca="1" si="14"/>
        <v>0</v>
      </c>
      <c r="L111" s="256">
        <f t="shared" ca="1" si="14"/>
        <v>0</v>
      </c>
      <c r="M111" s="256">
        <f ca="1">IF(SUM(H111:L111)=0,0,IF(AND(SUM(H111:L111)=E111,A5stdlife="n/a"),A5remlife-Input!$Y$7,E111/(SUM(H111:L111)/COUNTIF(H111:L111,"&gt;0"))))</f>
        <v>0</v>
      </c>
      <c r="N111" s="9"/>
      <c r="O111" s="9"/>
      <c r="P111" s="9"/>
      <c r="Q111" s="9"/>
      <c r="R111" s="46"/>
      <c r="S111" s="46"/>
      <c r="T111" s="46"/>
      <c r="U111" s="46"/>
      <c r="V111" s="46"/>
      <c r="W111" s="46"/>
      <c r="X111" s="46"/>
      <c r="Y111" s="46"/>
    </row>
    <row r="112" spans="1:25" hidden="1" outlineLevel="1">
      <c r="A112" s="9"/>
      <c r="B112" s="9"/>
      <c r="C112" s="539"/>
      <c r="D112" s="87">
        <v>6</v>
      </c>
      <c r="E112" s="256">
        <f ca="1">OFFSET('Actual RAB roll forward'!H$19,0,D112-1)-SUM('Actual RAB roll forward'!H142:OFFSET('Actual RAB roll forward'!H142,0,Input!$Y$7-1))</f>
        <v>0</v>
      </c>
      <c r="F112" s="256">
        <f ca="1">IF(A8stdlife="N/A",0,IF(E112=0,0,A8stdlife+D112-Input!$Y$7))</f>
        <v>0</v>
      </c>
      <c r="G112" s="257"/>
      <c r="H112" s="256">
        <f t="shared" ca="1" si="14"/>
        <v>0</v>
      </c>
      <c r="I112" s="256">
        <f t="shared" ca="1" si="14"/>
        <v>0</v>
      </c>
      <c r="J112" s="256">
        <f t="shared" ca="1" si="14"/>
        <v>0</v>
      </c>
      <c r="K112" s="256">
        <f t="shared" ca="1" si="14"/>
        <v>0</v>
      </c>
      <c r="L112" s="256">
        <f t="shared" ca="1" si="14"/>
        <v>0</v>
      </c>
      <c r="M112" s="256">
        <f ca="1">IF(SUM(H112:L112)=0,0,IF(AND(SUM(H112:L112)=E112,A5stdlife="n/a"),A5remlife-Input!$Y$7,E112/(SUM(H112:L112)/COUNTIF(H112:L112,"&gt;0"))))</f>
        <v>0</v>
      </c>
      <c r="N112" s="9"/>
      <c r="O112" s="9"/>
      <c r="P112" s="9"/>
      <c r="Q112" s="9"/>
      <c r="R112" s="46"/>
      <c r="S112" s="46"/>
      <c r="T112" s="46"/>
      <c r="U112" s="46"/>
      <c r="V112" s="46"/>
      <c r="W112" s="46"/>
      <c r="X112" s="46"/>
      <c r="Y112" s="46"/>
    </row>
    <row r="113" spans="1:25" hidden="1" outlineLevel="1">
      <c r="A113" s="9"/>
      <c r="B113" s="9"/>
      <c r="C113" s="539"/>
      <c r="D113" s="87">
        <v>7</v>
      </c>
      <c r="E113" s="256">
        <f ca="1">OFFSET('Actual RAB roll forward'!H$19,0,D113-1)-SUM('Actual RAB roll forward'!H143:OFFSET('Actual RAB roll forward'!H143,0,Input!$Y$7-1))</f>
        <v>0</v>
      </c>
      <c r="F113" s="256">
        <f ca="1">IF(A8stdlife="N/A",0,IF(E113=0,0,A8stdlife+D113-Input!$Y$7))</f>
        <v>0</v>
      </c>
      <c r="G113" s="257"/>
      <c r="H113" s="256">
        <f t="shared" ca="1" si="14"/>
        <v>0</v>
      </c>
      <c r="I113" s="256">
        <f t="shared" ca="1" si="14"/>
        <v>0</v>
      </c>
      <c r="J113" s="256">
        <f t="shared" ca="1" si="14"/>
        <v>0</v>
      </c>
      <c r="K113" s="256">
        <f t="shared" ca="1" si="14"/>
        <v>0</v>
      </c>
      <c r="L113" s="256">
        <f t="shared" ca="1" si="14"/>
        <v>0</v>
      </c>
      <c r="M113" s="256">
        <f ca="1">IF(SUM(H113:L113)=0,0,IF(AND(SUM(H113:L113)=E113,A5stdlife="n/a"),A5remlife-Input!$Y$7,E113/(SUM(H113:L113)/COUNTIF(H113:L113,"&gt;0"))))</f>
        <v>0</v>
      </c>
      <c r="N113" s="9"/>
      <c r="O113" s="9"/>
      <c r="P113" s="9"/>
      <c r="Q113" s="9"/>
      <c r="R113" s="46"/>
      <c r="S113" s="46"/>
      <c r="T113" s="46"/>
      <c r="U113" s="46"/>
      <c r="V113" s="46"/>
      <c r="W113" s="46"/>
      <c r="X113" s="46"/>
      <c r="Y113" s="46"/>
    </row>
    <row r="114" spans="1:25" hidden="1" outlineLevel="1">
      <c r="A114" s="9"/>
      <c r="B114" s="9"/>
      <c r="C114" s="539"/>
      <c r="D114" s="87">
        <v>8</v>
      </c>
      <c r="E114" s="256">
        <f ca="1">OFFSET('Actual RAB roll forward'!H$19,0,D114-1)-SUM('Actual RAB roll forward'!H144:OFFSET('Actual RAB roll forward'!H144,0,Input!$Y$7-1))</f>
        <v>0</v>
      </c>
      <c r="F114" s="256">
        <f ca="1">IF(A8stdlife="N/A",0,IF(E114=0,0,A8stdlife+D114-Input!$Y$7))</f>
        <v>0</v>
      </c>
      <c r="G114" s="257"/>
      <c r="H114" s="256">
        <f t="shared" ca="1" si="14"/>
        <v>0</v>
      </c>
      <c r="I114" s="256">
        <f t="shared" ca="1" si="14"/>
        <v>0</v>
      </c>
      <c r="J114" s="256">
        <f t="shared" ca="1" si="14"/>
        <v>0</v>
      </c>
      <c r="K114" s="256">
        <f t="shared" ca="1" si="14"/>
        <v>0</v>
      </c>
      <c r="L114" s="256">
        <f t="shared" ca="1" si="14"/>
        <v>0</v>
      </c>
      <c r="M114" s="256">
        <f ca="1">IF(SUM(H114:L114)=0,0,IF(AND(SUM(H114:L114)=E114,A5stdlife="n/a"),A5remlife-Input!$Y$7,E114/(SUM(H114:L114)/COUNTIF(H114:L114,"&gt;0"))))</f>
        <v>0</v>
      </c>
      <c r="N114" s="9"/>
      <c r="O114" s="9"/>
      <c r="P114" s="9"/>
      <c r="Q114" s="9"/>
      <c r="R114" s="46"/>
      <c r="S114" s="46"/>
      <c r="T114" s="46"/>
      <c r="U114" s="46"/>
      <c r="V114" s="46"/>
      <c r="W114" s="46"/>
      <c r="X114" s="46"/>
      <c r="Y114" s="46"/>
    </row>
    <row r="115" spans="1:25" hidden="1" outlineLevel="1">
      <c r="A115" s="9"/>
      <c r="B115" s="9"/>
      <c r="C115" s="539"/>
      <c r="D115" s="87">
        <v>9</v>
      </c>
      <c r="E115" s="256">
        <f ca="1">OFFSET('Actual RAB roll forward'!H$19,0,D115-1)-SUM('Actual RAB roll forward'!H145:OFFSET('Actual RAB roll forward'!H145,0,Input!$Y$7-1))</f>
        <v>0</v>
      </c>
      <c r="F115" s="256">
        <f ca="1">IF(A8stdlife="N/A",0,IF(E115=0,0,A8stdlife+D115-Input!$Y$7))</f>
        <v>0</v>
      </c>
      <c r="G115" s="257"/>
      <c r="H115" s="256">
        <f t="shared" ca="1" si="14"/>
        <v>0</v>
      </c>
      <c r="I115" s="256">
        <f t="shared" ca="1" si="14"/>
        <v>0</v>
      </c>
      <c r="J115" s="256">
        <f t="shared" ca="1" si="14"/>
        <v>0</v>
      </c>
      <c r="K115" s="256">
        <f t="shared" ca="1" si="14"/>
        <v>0</v>
      </c>
      <c r="L115" s="256">
        <f t="shared" ca="1" si="14"/>
        <v>0</v>
      </c>
      <c r="M115" s="256">
        <f ca="1">IF(SUM(H115:L115)=0,0,IF(AND(SUM(H115:L115)=E115,A5stdlife="n/a"),A5remlife-Input!$Y$7,E115/(SUM(H115:L115)/COUNTIF(H115:L115,"&gt;0"))))</f>
        <v>0</v>
      </c>
      <c r="N115" s="9"/>
      <c r="O115" s="9"/>
      <c r="P115" s="9"/>
      <c r="Q115" s="9"/>
      <c r="R115" s="46"/>
      <c r="S115" s="46"/>
      <c r="T115" s="46"/>
      <c r="U115" s="46"/>
      <c r="V115" s="46"/>
      <c r="W115" s="46"/>
      <c r="X115" s="46"/>
      <c r="Y115" s="46"/>
    </row>
    <row r="116" spans="1:25" hidden="1" outlineLevel="1">
      <c r="A116" s="9"/>
      <c r="B116" s="9"/>
      <c r="C116" s="540"/>
      <c r="D116" s="88">
        <v>10</v>
      </c>
      <c r="E116" s="256">
        <f ca="1">OFFSET('Actual RAB roll forward'!H$19,0,D116-1)-SUM('Actual RAB roll forward'!H146:OFFSET('Actual RAB roll forward'!H146,0,Input!$Y$7-1))</f>
        <v>0</v>
      </c>
      <c r="F116" s="256">
        <f ca="1">IF(A8stdlife="N/A",0,IF(E116=0,0,A8stdlife+D116-Input!$Y$7))</f>
        <v>0</v>
      </c>
      <c r="G116" s="257"/>
      <c r="H116" s="256">
        <f t="shared" ca="1" si="14"/>
        <v>0</v>
      </c>
      <c r="I116" s="256">
        <f t="shared" ca="1" si="14"/>
        <v>0</v>
      </c>
      <c r="J116" s="256">
        <f t="shared" ca="1" si="14"/>
        <v>0</v>
      </c>
      <c r="K116" s="256">
        <f t="shared" ca="1" si="14"/>
        <v>0</v>
      </c>
      <c r="L116" s="256">
        <f t="shared" ca="1" si="14"/>
        <v>0</v>
      </c>
      <c r="M116" s="256">
        <f ca="1">IF(SUM(H116:L116)=0,0,IF(AND(SUM(H116:L116)=E116,A5stdlife="n/a"),A5remlife-Input!$Y$7,E116/(SUM(H116:L116)/COUNTIF(H116:L116,"&gt;0"))))</f>
        <v>0</v>
      </c>
      <c r="N116" s="9"/>
      <c r="O116" s="9"/>
      <c r="P116" s="9"/>
      <c r="Q116" s="9"/>
      <c r="R116" s="46"/>
      <c r="S116" s="46"/>
      <c r="T116" s="46"/>
      <c r="U116" s="46"/>
      <c r="V116" s="46"/>
      <c r="W116" s="46"/>
      <c r="X116" s="46"/>
      <c r="Y116" s="46"/>
    </row>
    <row r="117" spans="1:25" collapsed="1">
      <c r="A117" s="9"/>
      <c r="B117" s="9"/>
      <c r="C117" s="264" t="str">
        <f>Asset8</f>
        <v>VBRC</v>
      </c>
      <c r="D117" s="9"/>
      <c r="E117" s="256">
        <f ca="1">SUM(E106:E116)</f>
        <v>0</v>
      </c>
      <c r="F117" s="516">
        <f ca="1">IF(E117=0,0,SUMPRODUCT(E106:E116,F106:F116)/E117)</f>
        <v>0</v>
      </c>
      <c r="G117" s="257"/>
      <c r="H117" s="256">
        <f t="shared" ref="H117:L117" ca="1" si="15">SUM(H106:H116)</f>
        <v>0</v>
      </c>
      <c r="I117" s="256">
        <f t="shared" ca="1" si="15"/>
        <v>0</v>
      </c>
      <c r="J117" s="256">
        <f t="shared" ca="1" si="15"/>
        <v>0</v>
      </c>
      <c r="K117" s="256">
        <f t="shared" ca="1" si="15"/>
        <v>0</v>
      </c>
      <c r="L117" s="256">
        <f t="shared" ca="1" si="15"/>
        <v>0</v>
      </c>
      <c r="M117" s="256">
        <f ca="1">IF(SUM(H117:L117)=0,0,IF(AND(SUM(H117:L117)=E117,A8stdlife="n/a"),A8remlife-Input!$Y$7,E117/(SUM(H117:L117)/COUNTIF(H117:L117,"&gt;0"))))</f>
        <v>0</v>
      </c>
      <c r="N117" s="9"/>
      <c r="O117" s="9"/>
      <c r="P117" s="9"/>
      <c r="Q117" s="9"/>
      <c r="R117" s="46"/>
      <c r="S117" s="46"/>
      <c r="T117" s="46"/>
      <c r="U117" s="46"/>
      <c r="V117" s="46"/>
      <c r="W117" s="46"/>
      <c r="X117" s="46"/>
      <c r="Y117" s="46"/>
    </row>
    <row r="118" spans="1:25" hidden="1" outlineLevel="1">
      <c r="A118" s="9"/>
      <c r="B118" s="9"/>
      <c r="C118" s="264"/>
      <c r="D118" s="9"/>
      <c r="E118" s="256"/>
      <c r="F118" s="256"/>
      <c r="G118" s="257"/>
      <c r="H118" s="256"/>
      <c r="I118" s="256"/>
      <c r="J118" s="256"/>
      <c r="K118" s="256"/>
      <c r="L118" s="256"/>
      <c r="M118" s="256">
        <f>IF(SUM(H118:L118)=0,0,IF(AND(SUM(H118:L118)=E118,A5stdlife="n/a"),A5remlife-Input!$Y$7,E118/(SUM(H118:L118)/COUNTIF(H118:L118,"&gt;0"))))</f>
        <v>0</v>
      </c>
      <c r="N118" s="9"/>
      <c r="O118" s="9"/>
      <c r="P118" s="9"/>
      <c r="Q118" s="9"/>
      <c r="R118" s="46"/>
      <c r="S118" s="46"/>
      <c r="T118" s="46"/>
      <c r="U118" s="46"/>
      <c r="V118" s="46"/>
      <c r="W118" s="46"/>
      <c r="X118" s="46"/>
      <c r="Y118" s="46"/>
    </row>
    <row r="119" spans="1:25" hidden="1" outlineLevel="1">
      <c r="A119" s="9"/>
      <c r="B119" s="255" t="str">
        <f>Asset9</f>
        <v>Equity raising</v>
      </c>
      <c r="C119" s="9"/>
      <c r="D119" s="9"/>
      <c r="E119" s="112"/>
      <c r="F119" s="112"/>
      <c r="G119" s="257"/>
      <c r="H119" s="112"/>
      <c r="I119" s="112"/>
      <c r="J119" s="112"/>
      <c r="K119" s="112"/>
      <c r="L119" s="112"/>
      <c r="M119" s="256">
        <f>IF(SUM(H119:L119)=0,0,IF(AND(SUM(H119:L119)=E119,A5stdlife="n/a"),A5remlife-Input!$Y$7,E119/(SUM(H119:L119)/COUNTIF(H119:L119,"&gt;0"))))</f>
        <v>0</v>
      </c>
      <c r="N119" s="9"/>
      <c r="O119" s="9"/>
      <c r="P119" s="9"/>
      <c r="Q119" s="9"/>
      <c r="R119" s="46"/>
      <c r="S119" s="46"/>
      <c r="T119" s="46"/>
      <c r="U119" s="46"/>
      <c r="V119" s="46"/>
      <c r="W119" s="46"/>
      <c r="X119" s="46"/>
      <c r="Y119" s="46"/>
    </row>
    <row r="120" spans="1:25" ht="12.75" hidden="1" customHeight="1" outlineLevel="1">
      <c r="A120" s="9"/>
      <c r="B120" s="9"/>
      <c r="C120" s="541" t="s">
        <v>28</v>
      </c>
      <c r="D120" s="542"/>
      <c r="E120" s="256">
        <f ca="1">A9value-SUM('Actual RAB roll forward'!H148:OFFSET('Actual RAB roll forward'!H148,0,Input!$Y$7-1))</f>
        <v>0</v>
      </c>
      <c r="F120" s="256">
        <f>IF(A9remlife="N/A",0,A9remlife-Input!$Y$7)</f>
        <v>0</v>
      </c>
      <c r="G120" s="257"/>
      <c r="H120" s="256"/>
      <c r="I120" s="256"/>
      <c r="J120" s="256"/>
      <c r="K120" s="256"/>
      <c r="L120" s="256"/>
      <c r="M120" s="256">
        <f>IF(SUM(H120:L120)=0,0,IF(AND(SUM(H120:L120)=E120,A5stdlife="n/a"),A5remlife-Input!$Y$7,E120/(SUM(H120:L120)/COUNTIF(H120:L120,"&gt;0"))))</f>
        <v>0</v>
      </c>
      <c r="N120" s="9"/>
      <c r="O120" s="9"/>
      <c r="P120" s="9"/>
      <c r="Q120" s="9"/>
      <c r="R120" s="46"/>
      <c r="S120" s="46"/>
      <c r="T120" s="46"/>
      <c r="U120" s="46"/>
      <c r="V120" s="46"/>
      <c r="W120" s="46"/>
      <c r="X120" s="46"/>
      <c r="Y120" s="46"/>
    </row>
    <row r="121" spans="1:25" ht="12.75" hidden="1" customHeight="1" outlineLevel="1">
      <c r="A121" s="9"/>
      <c r="B121" s="9"/>
      <c r="C121" s="538" t="s">
        <v>86</v>
      </c>
      <c r="D121" s="87">
        <v>1</v>
      </c>
      <c r="E121" s="256">
        <f ca="1">OFFSET('Actual RAB roll forward'!H$20,0,D121-1)-SUM('Actual RAB roll forward'!H150:OFFSET('Actual RAB roll forward'!H150,0,Input!$Y$7-1))</f>
        <v>2.6040266349035202</v>
      </c>
      <c r="F121" s="256">
        <f ca="1">IF(A9stdlife="N/A",0,IF(E121=0,0,A9stdlife+D121-Input!$Y$7))</f>
        <v>42.616450627888028</v>
      </c>
      <c r="G121" s="257"/>
      <c r="H121" s="256">
        <f t="shared" ref="H121:L130" ca="1" si="16">IF($F121=0,0,IF($F121-(H$6-$H$6)&lt;0,0,IF($F121-(H$6-$H$6)&lt;1,($F121-ROUNDDOWN($F121,0))*$E121/$F121,$E121/$F121)))</f>
        <v>6.1103789652521084E-2</v>
      </c>
      <c r="I121" s="256">
        <f t="shared" ca="1" si="16"/>
        <v>6.1103789652521084E-2</v>
      </c>
      <c r="J121" s="256">
        <f t="shared" ca="1" si="16"/>
        <v>6.1103789652521084E-2</v>
      </c>
      <c r="K121" s="256">
        <f t="shared" ca="1" si="16"/>
        <v>6.1103789652521084E-2</v>
      </c>
      <c r="L121" s="256">
        <f t="shared" ca="1" si="16"/>
        <v>6.1103789652521084E-2</v>
      </c>
      <c r="M121" s="256">
        <f ca="1">IF(SUM(H121:L121)=0,0,IF(AND(SUM(H121:L121)=E121,A5stdlife="n/a"),A5remlife-Input!$Y$7,E121/(SUM(H121:L121)/COUNTIF(H121:L121,"&gt;0"))))</f>
        <v>42.616450627888035</v>
      </c>
      <c r="N121" s="9"/>
      <c r="O121" s="9"/>
      <c r="P121" s="9"/>
      <c r="Q121" s="9"/>
      <c r="R121" s="46"/>
      <c r="S121" s="46"/>
      <c r="T121" s="46"/>
      <c r="U121" s="46"/>
      <c r="V121" s="46"/>
      <c r="W121" s="46"/>
      <c r="X121" s="46"/>
      <c r="Y121" s="46"/>
    </row>
    <row r="122" spans="1:25" hidden="1" outlineLevel="1">
      <c r="A122" s="9"/>
      <c r="B122" s="9"/>
      <c r="C122" s="539"/>
      <c r="D122" s="87">
        <v>2</v>
      </c>
      <c r="E122" s="256">
        <f ca="1">OFFSET('Actual RAB roll forward'!H$20,0,D122-1)-SUM('Actual RAB roll forward'!H151:OFFSET('Actual RAB roll forward'!H151,0,Input!$Y$7-1))</f>
        <v>0</v>
      </c>
      <c r="F122" s="256">
        <f ca="1">IF(A9stdlife="N/A",0,IF(E122=0,0,A9stdlife+D122-Input!$Y$7))</f>
        <v>0</v>
      </c>
      <c r="G122" s="257"/>
      <c r="H122" s="256">
        <f t="shared" ca="1" si="16"/>
        <v>0</v>
      </c>
      <c r="I122" s="256">
        <f t="shared" ca="1" si="16"/>
        <v>0</v>
      </c>
      <c r="J122" s="256">
        <f t="shared" ca="1" si="16"/>
        <v>0</v>
      </c>
      <c r="K122" s="256">
        <f t="shared" ca="1" si="16"/>
        <v>0</v>
      </c>
      <c r="L122" s="256">
        <f t="shared" ca="1" si="16"/>
        <v>0</v>
      </c>
      <c r="M122" s="256">
        <f ca="1">IF(SUM(H122:L122)=0,0,IF(AND(SUM(H122:L122)=E122,A5stdlife="n/a"),A5remlife-Input!$Y$7,E122/(SUM(H122:L122)/COUNTIF(H122:L122,"&gt;0"))))</f>
        <v>0</v>
      </c>
      <c r="N122" s="9"/>
      <c r="O122" s="9"/>
      <c r="P122" s="9"/>
      <c r="Q122" s="9"/>
      <c r="R122" s="46"/>
      <c r="S122" s="46"/>
      <c r="T122" s="46"/>
      <c r="U122" s="46"/>
      <c r="V122" s="46"/>
      <c r="W122" s="46"/>
      <c r="X122" s="46"/>
      <c r="Y122" s="46"/>
    </row>
    <row r="123" spans="1:25" hidden="1" outlineLevel="1">
      <c r="A123" s="9"/>
      <c r="B123" s="9"/>
      <c r="C123" s="539"/>
      <c r="D123" s="87">
        <v>3</v>
      </c>
      <c r="E123" s="256">
        <f ca="1">OFFSET('Actual RAB roll forward'!H$20,0,D123-1)-SUM('Actual RAB roll forward'!H152:OFFSET('Actual RAB roll forward'!H152,0,Input!$Y$7-1))</f>
        <v>0</v>
      </c>
      <c r="F123" s="256">
        <f ca="1">IF(A9stdlife="N/A",0,IF(E123=0,0,A9stdlife+D123-Input!$Y$7))</f>
        <v>0</v>
      </c>
      <c r="G123" s="257"/>
      <c r="H123" s="256">
        <f t="shared" ca="1" si="16"/>
        <v>0</v>
      </c>
      <c r="I123" s="256">
        <f t="shared" ca="1" si="16"/>
        <v>0</v>
      </c>
      <c r="J123" s="256">
        <f t="shared" ca="1" si="16"/>
        <v>0</v>
      </c>
      <c r="K123" s="256">
        <f t="shared" ca="1" si="16"/>
        <v>0</v>
      </c>
      <c r="L123" s="256">
        <f t="shared" ca="1" si="16"/>
        <v>0</v>
      </c>
      <c r="M123" s="256">
        <f ca="1">IF(SUM(H123:L123)=0,0,IF(AND(SUM(H123:L123)=E123,A5stdlife="n/a"),A5remlife-Input!$Y$7,E123/(SUM(H123:L123)/COUNTIF(H123:L123,"&gt;0"))))</f>
        <v>0</v>
      </c>
      <c r="N123" s="9"/>
      <c r="O123" s="9"/>
      <c r="P123" s="9"/>
      <c r="Q123" s="9"/>
      <c r="R123" s="46"/>
      <c r="S123" s="46"/>
      <c r="T123" s="46"/>
      <c r="U123" s="46"/>
      <c r="V123" s="46"/>
      <c r="W123" s="46"/>
      <c r="X123" s="46"/>
      <c r="Y123" s="46"/>
    </row>
    <row r="124" spans="1:25" hidden="1" outlineLevel="1">
      <c r="A124" s="9"/>
      <c r="B124" s="9"/>
      <c r="C124" s="539"/>
      <c r="D124" s="87">
        <v>4</v>
      </c>
      <c r="E124" s="256">
        <f ca="1">OFFSET('Actual RAB roll forward'!H$20,0,D124-1)-SUM('Actual RAB roll forward'!H153:OFFSET('Actual RAB roll forward'!H153,0,Input!$Y$7-1))</f>
        <v>0</v>
      </c>
      <c r="F124" s="256">
        <f ca="1">IF(A9stdlife="N/A",0,IF(E124=0,0,A9stdlife+D124-Input!$Y$7))</f>
        <v>0</v>
      </c>
      <c r="G124" s="257"/>
      <c r="H124" s="256">
        <f t="shared" ca="1" si="16"/>
        <v>0</v>
      </c>
      <c r="I124" s="256">
        <f t="shared" ca="1" si="16"/>
        <v>0</v>
      </c>
      <c r="J124" s="256">
        <f t="shared" ca="1" si="16"/>
        <v>0</v>
      </c>
      <c r="K124" s="256">
        <f t="shared" ca="1" si="16"/>
        <v>0</v>
      </c>
      <c r="L124" s="256">
        <f t="shared" ca="1" si="16"/>
        <v>0</v>
      </c>
      <c r="M124" s="256">
        <f ca="1">IF(SUM(H124:L124)=0,0,IF(AND(SUM(H124:L124)=E124,A5stdlife="n/a"),A5remlife-Input!$Y$7,E124/(SUM(H124:L124)/COUNTIF(H124:L124,"&gt;0"))))</f>
        <v>0</v>
      </c>
      <c r="N124" s="9"/>
      <c r="O124" s="9"/>
      <c r="P124" s="9"/>
      <c r="Q124" s="9"/>
      <c r="R124" s="46"/>
      <c r="S124" s="46"/>
      <c r="T124" s="46"/>
      <c r="U124" s="46"/>
      <c r="V124" s="46"/>
      <c r="W124" s="46"/>
      <c r="X124" s="46"/>
      <c r="Y124" s="46"/>
    </row>
    <row r="125" spans="1:25" hidden="1" outlineLevel="1">
      <c r="A125" s="9"/>
      <c r="B125" s="9"/>
      <c r="C125" s="539"/>
      <c r="D125" s="87">
        <v>5</v>
      </c>
      <c r="E125" s="256">
        <f ca="1">OFFSET('Actual RAB roll forward'!H$20,0,D125-1)-SUM('Actual RAB roll forward'!H154:OFFSET('Actual RAB roll forward'!H154,0,Input!$Y$7-1))</f>
        <v>0</v>
      </c>
      <c r="F125" s="256">
        <f ca="1">IF(A9stdlife="N/A",0,IF(E125=0,0,A9stdlife+D125-Input!$Y$7))</f>
        <v>0</v>
      </c>
      <c r="G125" s="257"/>
      <c r="H125" s="256">
        <f t="shared" ca="1" si="16"/>
        <v>0</v>
      </c>
      <c r="I125" s="256">
        <f t="shared" ca="1" si="16"/>
        <v>0</v>
      </c>
      <c r="J125" s="256">
        <f t="shared" ca="1" si="16"/>
        <v>0</v>
      </c>
      <c r="K125" s="256">
        <f t="shared" ca="1" si="16"/>
        <v>0</v>
      </c>
      <c r="L125" s="256">
        <f t="shared" ca="1" si="16"/>
        <v>0</v>
      </c>
      <c r="M125" s="256">
        <f ca="1">IF(SUM(H125:L125)=0,0,IF(AND(SUM(H125:L125)=E125,A5stdlife="n/a"),A5remlife-Input!$Y$7,E125/(SUM(H125:L125)/COUNTIF(H125:L125,"&gt;0"))))</f>
        <v>0</v>
      </c>
      <c r="N125" s="9"/>
      <c r="O125" s="9"/>
      <c r="P125" s="9"/>
      <c r="Q125" s="9"/>
      <c r="R125" s="46"/>
      <c r="S125" s="46"/>
      <c r="T125" s="46"/>
      <c r="U125" s="46"/>
      <c r="V125" s="46"/>
      <c r="W125" s="46"/>
      <c r="X125" s="46"/>
      <c r="Y125" s="46"/>
    </row>
    <row r="126" spans="1:25" hidden="1" outlineLevel="1">
      <c r="A126" s="9"/>
      <c r="B126" s="9"/>
      <c r="C126" s="539"/>
      <c r="D126" s="87">
        <v>6</v>
      </c>
      <c r="E126" s="256">
        <f ca="1">OFFSET('Actual RAB roll forward'!H$20,0,D126-1)-SUM('Actual RAB roll forward'!H155:OFFSET('Actual RAB roll forward'!H155,0,Input!$Y$7-1))</f>
        <v>0</v>
      </c>
      <c r="F126" s="256">
        <f ca="1">IF(A9stdlife="N/A",0,IF(E126=0,0,A9stdlife+D126-Input!$Y$7))</f>
        <v>0</v>
      </c>
      <c r="G126" s="257"/>
      <c r="H126" s="256">
        <f t="shared" ca="1" si="16"/>
        <v>0</v>
      </c>
      <c r="I126" s="256">
        <f t="shared" ca="1" si="16"/>
        <v>0</v>
      </c>
      <c r="J126" s="256">
        <f t="shared" ca="1" si="16"/>
        <v>0</v>
      </c>
      <c r="K126" s="256">
        <f t="shared" ca="1" si="16"/>
        <v>0</v>
      </c>
      <c r="L126" s="256">
        <f t="shared" ca="1" si="16"/>
        <v>0</v>
      </c>
      <c r="M126" s="256">
        <f ca="1">IF(SUM(H126:L126)=0,0,IF(AND(SUM(H126:L126)=E126,A5stdlife="n/a"),A5remlife-Input!$Y$7,E126/(SUM(H126:L126)/COUNTIF(H126:L126,"&gt;0"))))</f>
        <v>0</v>
      </c>
      <c r="N126" s="9"/>
      <c r="O126" s="9"/>
      <c r="P126" s="9"/>
      <c r="Q126" s="9"/>
      <c r="R126" s="46"/>
      <c r="S126" s="46"/>
      <c r="T126" s="46"/>
      <c r="U126" s="46"/>
      <c r="V126" s="46"/>
      <c r="W126" s="46"/>
      <c r="X126" s="46"/>
      <c r="Y126" s="46"/>
    </row>
    <row r="127" spans="1:25" hidden="1" outlineLevel="1">
      <c r="A127" s="9"/>
      <c r="B127" s="9"/>
      <c r="C127" s="539"/>
      <c r="D127" s="87">
        <v>7</v>
      </c>
      <c r="E127" s="256">
        <f ca="1">OFFSET('Actual RAB roll forward'!H$20,0,D127-1)-SUM('Actual RAB roll forward'!H156:OFFSET('Actual RAB roll forward'!H156,0,Input!$Y$7-1))</f>
        <v>0</v>
      </c>
      <c r="F127" s="256">
        <f ca="1">IF(A9stdlife="N/A",0,IF(E127=0,0,A9stdlife+D127-Input!$Y$7))</f>
        <v>0</v>
      </c>
      <c r="G127" s="257"/>
      <c r="H127" s="256">
        <f t="shared" ca="1" si="16"/>
        <v>0</v>
      </c>
      <c r="I127" s="256">
        <f t="shared" ca="1" si="16"/>
        <v>0</v>
      </c>
      <c r="J127" s="256">
        <f t="shared" ca="1" si="16"/>
        <v>0</v>
      </c>
      <c r="K127" s="256">
        <f t="shared" ca="1" si="16"/>
        <v>0</v>
      </c>
      <c r="L127" s="256">
        <f t="shared" ca="1" si="16"/>
        <v>0</v>
      </c>
      <c r="M127" s="256">
        <f ca="1">IF(SUM(H127:L127)=0,0,IF(AND(SUM(H127:L127)=E127,A5stdlife="n/a"),A5remlife-Input!$Y$7,E127/(SUM(H127:L127)/COUNTIF(H127:L127,"&gt;0"))))</f>
        <v>0</v>
      </c>
      <c r="N127" s="9"/>
      <c r="O127" s="9"/>
      <c r="P127" s="9"/>
      <c r="Q127" s="9"/>
      <c r="R127" s="46"/>
      <c r="S127" s="46"/>
      <c r="T127" s="46"/>
      <c r="U127" s="46"/>
      <c r="V127" s="46"/>
      <c r="W127" s="46"/>
      <c r="X127" s="46"/>
      <c r="Y127" s="46"/>
    </row>
    <row r="128" spans="1:25" hidden="1" outlineLevel="1">
      <c r="A128" s="9"/>
      <c r="B128" s="9"/>
      <c r="C128" s="539"/>
      <c r="D128" s="87">
        <v>8</v>
      </c>
      <c r="E128" s="256">
        <f ca="1">OFFSET('Actual RAB roll forward'!H$20,0,D128-1)-SUM('Actual RAB roll forward'!H157:OFFSET('Actual RAB roll forward'!H157,0,Input!$Y$7-1))</f>
        <v>0</v>
      </c>
      <c r="F128" s="256">
        <f ca="1">IF(A9stdlife="N/A",0,IF(E128=0,0,A9stdlife+D128-Input!$Y$7))</f>
        <v>0</v>
      </c>
      <c r="G128" s="257"/>
      <c r="H128" s="256">
        <f t="shared" ca="1" si="16"/>
        <v>0</v>
      </c>
      <c r="I128" s="256">
        <f t="shared" ca="1" si="16"/>
        <v>0</v>
      </c>
      <c r="J128" s="256">
        <f t="shared" ca="1" si="16"/>
        <v>0</v>
      </c>
      <c r="K128" s="256">
        <f t="shared" ca="1" si="16"/>
        <v>0</v>
      </c>
      <c r="L128" s="256">
        <f t="shared" ca="1" si="16"/>
        <v>0</v>
      </c>
      <c r="M128" s="256">
        <f ca="1">IF(SUM(H128:L128)=0,0,IF(AND(SUM(H128:L128)=E128,A5stdlife="n/a"),A5remlife-Input!$Y$7,E128/(SUM(H128:L128)/COUNTIF(H128:L128,"&gt;0"))))</f>
        <v>0</v>
      </c>
      <c r="N128" s="9"/>
      <c r="O128" s="9"/>
      <c r="P128" s="9"/>
      <c r="Q128" s="9"/>
      <c r="R128" s="46"/>
      <c r="S128" s="46"/>
      <c r="T128" s="46"/>
      <c r="U128" s="46"/>
      <c r="V128" s="46"/>
      <c r="W128" s="46"/>
      <c r="X128" s="46"/>
      <c r="Y128" s="46"/>
    </row>
    <row r="129" spans="1:25" hidden="1" outlineLevel="1">
      <c r="A129" s="9"/>
      <c r="B129" s="9"/>
      <c r="C129" s="539"/>
      <c r="D129" s="87">
        <v>9</v>
      </c>
      <c r="E129" s="256">
        <f ca="1">OFFSET('Actual RAB roll forward'!H$20,0,D129-1)-SUM('Actual RAB roll forward'!H158:OFFSET('Actual RAB roll forward'!H158,0,Input!$Y$7-1))</f>
        <v>0</v>
      </c>
      <c r="F129" s="256">
        <f ca="1">IF(A9stdlife="N/A",0,IF(E129=0,0,A9stdlife+D129-Input!$Y$7))</f>
        <v>0</v>
      </c>
      <c r="G129" s="257"/>
      <c r="H129" s="256">
        <f t="shared" ca="1" si="16"/>
        <v>0</v>
      </c>
      <c r="I129" s="256">
        <f t="shared" ca="1" si="16"/>
        <v>0</v>
      </c>
      <c r="J129" s="256">
        <f t="shared" ca="1" si="16"/>
        <v>0</v>
      </c>
      <c r="K129" s="256">
        <f t="shared" ca="1" si="16"/>
        <v>0</v>
      </c>
      <c r="L129" s="256">
        <f t="shared" ca="1" si="16"/>
        <v>0</v>
      </c>
      <c r="M129" s="256">
        <f ca="1">IF(SUM(H129:L129)=0,0,IF(AND(SUM(H129:L129)=E129,A5stdlife="n/a"),A5remlife-Input!$Y$7,E129/(SUM(H129:L129)/COUNTIF(H129:L129,"&gt;0"))))</f>
        <v>0</v>
      </c>
      <c r="N129" s="9"/>
      <c r="O129" s="9"/>
      <c r="P129" s="9"/>
      <c r="Q129" s="9"/>
      <c r="R129" s="46"/>
      <c r="S129" s="46"/>
      <c r="T129" s="46"/>
      <c r="U129" s="46"/>
      <c r="V129" s="46"/>
      <c r="W129" s="46"/>
      <c r="X129" s="46"/>
      <c r="Y129" s="46"/>
    </row>
    <row r="130" spans="1:25" hidden="1" outlineLevel="1">
      <c r="A130" s="9"/>
      <c r="B130" s="9"/>
      <c r="C130" s="540"/>
      <c r="D130" s="88">
        <v>10</v>
      </c>
      <c r="E130" s="256">
        <f ca="1">OFFSET('Actual RAB roll forward'!H$20,0,D130-1)-SUM('Actual RAB roll forward'!H159:OFFSET('Actual RAB roll forward'!H159,0,Input!$Y$7-1))</f>
        <v>0</v>
      </c>
      <c r="F130" s="256">
        <f ca="1">IF(A9stdlife="N/A",0,IF(E130=0,0,A9stdlife+D130-Input!$Y$7))</f>
        <v>0</v>
      </c>
      <c r="G130" s="257"/>
      <c r="H130" s="256">
        <f t="shared" ca="1" si="16"/>
        <v>0</v>
      </c>
      <c r="I130" s="256">
        <f t="shared" ca="1" si="16"/>
        <v>0</v>
      </c>
      <c r="J130" s="256">
        <f t="shared" ca="1" si="16"/>
        <v>0</v>
      </c>
      <c r="K130" s="256">
        <f t="shared" ca="1" si="16"/>
        <v>0</v>
      </c>
      <c r="L130" s="256">
        <f t="shared" ca="1" si="16"/>
        <v>0</v>
      </c>
      <c r="M130" s="256">
        <f ca="1">IF(SUM(H130:L130)=0,0,IF(AND(SUM(H130:L130)=E130,A5stdlife="n/a"),A5remlife-Input!$Y$7,E130/(SUM(H130:L130)/COUNTIF(H130:L130,"&gt;0"))))</f>
        <v>0</v>
      </c>
      <c r="N130" s="9"/>
      <c r="O130" s="9"/>
      <c r="P130" s="9"/>
      <c r="Q130" s="9"/>
      <c r="R130" s="46"/>
      <c r="S130" s="46"/>
      <c r="T130" s="46"/>
      <c r="U130" s="46"/>
      <c r="V130" s="46"/>
      <c r="W130" s="46"/>
      <c r="X130" s="46"/>
      <c r="Y130" s="46"/>
    </row>
    <row r="131" spans="1:25" collapsed="1">
      <c r="A131" s="9"/>
      <c r="B131" s="9"/>
      <c r="C131" s="264" t="str">
        <f>Asset9</f>
        <v>Equity raising</v>
      </c>
      <c r="D131" s="9"/>
      <c r="E131" s="256">
        <f ca="1">SUM(E120:E130)</f>
        <v>2.6040266349035202</v>
      </c>
      <c r="F131" s="516">
        <f ca="1">IF(E131=0,0,SUMPRODUCT(E120:E130,F120:F130)/E131)</f>
        <v>42.616450627888028</v>
      </c>
      <c r="G131" s="257"/>
      <c r="H131" s="256">
        <f t="shared" ref="H131:L131" ca="1" si="17">SUM(H120:H130)</f>
        <v>6.1103789652521084E-2</v>
      </c>
      <c r="I131" s="256">
        <f t="shared" ca="1" si="17"/>
        <v>6.1103789652521084E-2</v>
      </c>
      <c r="J131" s="256">
        <f t="shared" ca="1" si="17"/>
        <v>6.1103789652521084E-2</v>
      </c>
      <c r="K131" s="256">
        <f t="shared" ca="1" si="17"/>
        <v>6.1103789652521084E-2</v>
      </c>
      <c r="L131" s="256">
        <f t="shared" ca="1" si="17"/>
        <v>6.1103789652521084E-2</v>
      </c>
      <c r="M131" s="256">
        <f ca="1">IF(SUM(H131:L131)=0,0,IF(AND(SUM(H131:L131)=E131,A9stdlife="n/a"),A9remlife-Input!$Y$7,E131/(SUM(H131:L131)/COUNTIF(H131:L131,"&gt;0"))))</f>
        <v>42.616450627888035</v>
      </c>
      <c r="N131" s="9"/>
      <c r="O131" s="9"/>
      <c r="P131" s="9"/>
      <c r="Q131" s="9"/>
      <c r="R131" s="46"/>
      <c r="S131" s="46"/>
      <c r="T131" s="46"/>
      <c r="U131" s="46"/>
      <c r="V131" s="46"/>
      <c r="W131" s="46"/>
      <c r="X131" s="46"/>
      <c r="Y131" s="46"/>
    </row>
    <row r="132" spans="1:25" hidden="1" outlineLevel="1">
      <c r="A132" s="9"/>
      <c r="B132" s="9"/>
      <c r="C132" s="264"/>
      <c r="D132" s="9"/>
      <c r="E132" s="256"/>
      <c r="F132" s="256"/>
      <c r="G132" s="257"/>
      <c r="H132" s="256"/>
      <c r="I132" s="256"/>
      <c r="J132" s="256"/>
      <c r="K132" s="256"/>
      <c r="L132" s="256"/>
      <c r="M132" s="9"/>
      <c r="N132" s="9"/>
      <c r="O132" s="9"/>
      <c r="P132" s="9"/>
      <c r="Q132" s="9"/>
      <c r="R132" s="46"/>
      <c r="S132" s="46"/>
      <c r="T132" s="46"/>
      <c r="U132" s="46"/>
      <c r="V132" s="46"/>
      <c r="W132" s="46"/>
      <c r="X132" s="46"/>
      <c r="Y132" s="46"/>
    </row>
    <row r="133" spans="1:25" hidden="1" outlineLevel="1">
      <c r="A133" s="9"/>
      <c r="B133" s="255">
        <f>Asset10</f>
        <v>0</v>
      </c>
      <c r="C133" s="9"/>
      <c r="D133" s="9"/>
      <c r="E133" s="37"/>
      <c r="F133" s="37"/>
      <c r="G133" s="257"/>
      <c r="H133" s="37"/>
      <c r="I133" s="37"/>
      <c r="J133" s="37"/>
      <c r="K133" s="37"/>
      <c r="L133" s="37"/>
      <c r="M133" s="9"/>
      <c r="N133" s="9"/>
      <c r="O133" s="9"/>
      <c r="P133" s="9"/>
      <c r="Q133" s="9"/>
      <c r="R133" s="46"/>
      <c r="S133" s="46"/>
      <c r="T133" s="46"/>
      <c r="U133" s="46"/>
      <c r="V133" s="46"/>
      <c r="W133" s="46"/>
      <c r="X133" s="46"/>
      <c r="Y133" s="46"/>
    </row>
    <row r="134" spans="1:25" ht="12.75" hidden="1" customHeight="1" outlineLevel="1">
      <c r="A134" s="9"/>
      <c r="B134" s="9"/>
      <c r="C134" s="541" t="s">
        <v>28</v>
      </c>
      <c r="D134" s="542"/>
      <c r="E134" s="256">
        <f ca="1">A10value-SUM('Actual RAB roll forward'!H161:OFFSET('Actual RAB roll forward'!H161,0,Input!$Y$7-1))</f>
        <v>0</v>
      </c>
      <c r="F134" s="256">
        <f>IF(A10remlife="N/A",0,A10remlife-Input!$Y$7)</f>
        <v>0</v>
      </c>
      <c r="G134" s="257"/>
      <c r="H134" s="256"/>
      <c r="I134" s="256"/>
      <c r="J134" s="256"/>
      <c r="K134" s="256"/>
      <c r="L134" s="256"/>
      <c r="M134" s="9"/>
      <c r="N134" s="9"/>
      <c r="O134" s="9"/>
      <c r="P134" s="9"/>
      <c r="Q134" s="9"/>
      <c r="R134" s="46"/>
      <c r="S134" s="46"/>
      <c r="T134" s="46"/>
      <c r="U134" s="46"/>
      <c r="V134" s="46"/>
      <c r="W134" s="46"/>
      <c r="X134" s="46"/>
      <c r="Y134" s="46"/>
    </row>
    <row r="135" spans="1:25" ht="12.75" hidden="1" customHeight="1" outlineLevel="1">
      <c r="A135" s="9"/>
      <c r="B135" s="9"/>
      <c r="C135" s="538" t="s">
        <v>86</v>
      </c>
      <c r="D135" s="87">
        <v>1</v>
      </c>
      <c r="E135" s="256">
        <f ca="1">OFFSET('Actual RAB roll forward'!H$21,0,D135-1)-SUM('Actual RAB roll forward'!H163:OFFSET('Actual RAB roll forward'!H163,0,Input!$Y$7-1))</f>
        <v>0</v>
      </c>
      <c r="F135" s="256">
        <f>IF(A10stdlife="N/A",0,IF(E135=0,0,A10stdlife+D135-Input!$Y$7))</f>
        <v>0</v>
      </c>
      <c r="G135" s="257"/>
      <c r="H135" s="256"/>
      <c r="I135" s="256"/>
      <c r="J135" s="256"/>
      <c r="K135" s="256"/>
      <c r="L135" s="256"/>
      <c r="M135" s="9"/>
      <c r="N135" s="9"/>
      <c r="O135" s="9"/>
      <c r="P135" s="9"/>
      <c r="Q135" s="9"/>
      <c r="R135" s="46"/>
      <c r="S135" s="46"/>
      <c r="T135" s="46"/>
      <c r="U135" s="46"/>
      <c r="V135" s="46"/>
      <c r="W135" s="46"/>
      <c r="X135" s="46"/>
      <c r="Y135" s="46"/>
    </row>
    <row r="136" spans="1:25" hidden="1" outlineLevel="1">
      <c r="A136" s="9"/>
      <c r="B136" s="9"/>
      <c r="C136" s="539"/>
      <c r="D136" s="87">
        <v>2</v>
      </c>
      <c r="E136" s="256">
        <f ca="1">OFFSET('Actual RAB roll forward'!H$21,0,D136-1)-SUM('Actual RAB roll forward'!H164:OFFSET('Actual RAB roll forward'!H164,0,Input!$Y$7-1))</f>
        <v>0</v>
      </c>
      <c r="F136" s="256">
        <f>IF(A10stdlife="N/A",0,IF(E136=0,0,A10stdlife+D136-Input!$Y$7))</f>
        <v>0</v>
      </c>
      <c r="G136" s="257"/>
      <c r="H136" s="256"/>
      <c r="I136" s="256"/>
      <c r="J136" s="256"/>
      <c r="K136" s="256"/>
      <c r="L136" s="256"/>
      <c r="M136" s="9"/>
      <c r="N136" s="9"/>
      <c r="O136" s="9"/>
      <c r="P136" s="9"/>
      <c r="Q136" s="9"/>
      <c r="R136" s="46"/>
      <c r="S136" s="46"/>
      <c r="T136" s="46"/>
      <c r="U136" s="46"/>
      <c r="V136" s="46"/>
      <c r="W136" s="46"/>
      <c r="X136" s="46"/>
      <c r="Y136" s="46"/>
    </row>
    <row r="137" spans="1:25" hidden="1" outlineLevel="1">
      <c r="A137" s="9"/>
      <c r="B137" s="9"/>
      <c r="C137" s="539"/>
      <c r="D137" s="87">
        <v>3</v>
      </c>
      <c r="E137" s="256">
        <f ca="1">OFFSET('Actual RAB roll forward'!H$21,0,D137-1)-SUM('Actual RAB roll forward'!H165:OFFSET('Actual RAB roll forward'!H165,0,Input!$Y$7-1))</f>
        <v>0</v>
      </c>
      <c r="F137" s="256">
        <f>IF(A10stdlife="N/A",0,IF(E137=0,0,A10stdlife+D137-Input!$Y$7))</f>
        <v>0</v>
      </c>
      <c r="G137" s="257"/>
      <c r="H137" s="256"/>
      <c r="I137" s="256"/>
      <c r="J137" s="256"/>
      <c r="K137" s="256"/>
      <c r="L137" s="256"/>
      <c r="M137" s="9"/>
      <c r="N137" s="9"/>
      <c r="O137" s="9"/>
      <c r="P137" s="9"/>
      <c r="Q137" s="9"/>
      <c r="R137" s="46"/>
      <c r="S137" s="46"/>
      <c r="T137" s="46"/>
      <c r="U137" s="46"/>
      <c r="V137" s="46"/>
      <c r="W137" s="46"/>
      <c r="X137" s="46"/>
      <c r="Y137" s="46"/>
    </row>
    <row r="138" spans="1:25" hidden="1" outlineLevel="1">
      <c r="A138" s="9"/>
      <c r="B138" s="9"/>
      <c r="C138" s="539"/>
      <c r="D138" s="87">
        <v>4</v>
      </c>
      <c r="E138" s="256">
        <f ca="1">OFFSET('Actual RAB roll forward'!H$21,0,D138-1)-SUM('Actual RAB roll forward'!H166:OFFSET('Actual RAB roll forward'!H166,0,Input!$Y$7-1))</f>
        <v>0</v>
      </c>
      <c r="F138" s="256">
        <f>IF(A10stdlife="N/A",0,IF(E138=0,0,A10stdlife+D138-Input!$Y$7))</f>
        <v>0</v>
      </c>
      <c r="G138" s="257"/>
      <c r="H138" s="256"/>
      <c r="I138" s="256"/>
      <c r="J138" s="256"/>
      <c r="K138" s="256"/>
      <c r="L138" s="256"/>
      <c r="M138" s="9"/>
      <c r="N138" s="9"/>
      <c r="O138" s="9"/>
      <c r="P138" s="9"/>
      <c r="Q138" s="9"/>
      <c r="R138" s="46"/>
      <c r="S138" s="46"/>
      <c r="T138" s="46"/>
      <c r="U138" s="46"/>
      <c r="V138" s="46"/>
      <c r="W138" s="46"/>
      <c r="X138" s="46"/>
      <c r="Y138" s="46"/>
    </row>
    <row r="139" spans="1:25" hidden="1" outlineLevel="1">
      <c r="A139" s="9"/>
      <c r="B139" s="9"/>
      <c r="C139" s="539"/>
      <c r="D139" s="87">
        <v>5</v>
      </c>
      <c r="E139" s="256">
        <f ca="1">OFFSET('Actual RAB roll forward'!H$21,0,D139-1)-SUM('Actual RAB roll forward'!H167:OFFSET('Actual RAB roll forward'!H167,0,Input!$Y$7-1))</f>
        <v>0</v>
      </c>
      <c r="F139" s="256">
        <f>IF(A10stdlife="N/A",0,IF(E139=0,0,A10stdlife+D139-Input!$Y$7))</f>
        <v>0</v>
      </c>
      <c r="G139" s="257"/>
      <c r="H139" s="256"/>
      <c r="I139" s="256"/>
      <c r="J139" s="256"/>
      <c r="K139" s="256"/>
      <c r="L139" s="256"/>
      <c r="M139" s="9"/>
      <c r="N139" s="9"/>
      <c r="O139" s="9"/>
      <c r="P139" s="9"/>
      <c r="Q139" s="9"/>
      <c r="R139" s="46"/>
      <c r="S139" s="46"/>
      <c r="T139" s="46"/>
      <c r="U139" s="46"/>
      <c r="V139" s="46"/>
      <c r="W139" s="46"/>
      <c r="X139" s="46"/>
      <c r="Y139" s="46"/>
    </row>
    <row r="140" spans="1:25" hidden="1" outlineLevel="1">
      <c r="A140" s="9"/>
      <c r="B140" s="9"/>
      <c r="C140" s="539"/>
      <c r="D140" s="87">
        <v>6</v>
      </c>
      <c r="E140" s="256">
        <f ca="1">OFFSET('Actual RAB roll forward'!H$21,0,D140-1)-SUM('Actual RAB roll forward'!H168:OFFSET('Actual RAB roll forward'!H168,0,Input!$Y$7-1))</f>
        <v>0</v>
      </c>
      <c r="F140" s="256">
        <f>IF(A10stdlife="N/A",0,IF(E140=0,0,A10stdlife+D140-Input!$Y$7))</f>
        <v>0</v>
      </c>
      <c r="G140" s="257"/>
      <c r="H140" s="256"/>
      <c r="I140" s="256"/>
      <c r="J140" s="256"/>
      <c r="K140" s="256"/>
      <c r="L140" s="256"/>
      <c r="M140" s="9"/>
      <c r="N140" s="9"/>
      <c r="O140" s="9"/>
      <c r="P140" s="9"/>
      <c r="Q140" s="9"/>
      <c r="R140" s="46"/>
      <c r="S140" s="46"/>
      <c r="T140" s="46"/>
      <c r="U140" s="46"/>
      <c r="V140" s="46"/>
      <c r="W140" s="46"/>
      <c r="X140" s="46"/>
      <c r="Y140" s="46"/>
    </row>
    <row r="141" spans="1:25" hidden="1" outlineLevel="1">
      <c r="A141" s="9"/>
      <c r="B141" s="9"/>
      <c r="C141" s="539"/>
      <c r="D141" s="87">
        <v>7</v>
      </c>
      <c r="E141" s="256">
        <f ca="1">OFFSET('Actual RAB roll forward'!H$21,0,D141-1)-SUM('Actual RAB roll forward'!H169:OFFSET('Actual RAB roll forward'!H169,0,Input!$Y$7-1))</f>
        <v>0</v>
      </c>
      <c r="F141" s="256">
        <f>IF(A10stdlife="N/A",0,IF(E141=0,0,A10stdlife+D141-Input!$Y$7))</f>
        <v>0</v>
      </c>
      <c r="G141" s="257"/>
      <c r="H141" s="256"/>
      <c r="I141" s="256"/>
      <c r="J141" s="256"/>
      <c r="K141" s="256"/>
      <c r="L141" s="256"/>
      <c r="M141" s="9"/>
      <c r="N141" s="9"/>
      <c r="O141" s="9"/>
      <c r="P141" s="9"/>
      <c r="Q141" s="9"/>
      <c r="R141" s="46"/>
      <c r="S141" s="46"/>
      <c r="T141" s="46"/>
      <c r="U141" s="46"/>
      <c r="V141" s="46"/>
      <c r="W141" s="46"/>
      <c r="X141" s="46"/>
      <c r="Y141" s="46"/>
    </row>
    <row r="142" spans="1:25" hidden="1" outlineLevel="1">
      <c r="A142" s="9"/>
      <c r="B142" s="9"/>
      <c r="C142" s="539"/>
      <c r="D142" s="87">
        <v>8</v>
      </c>
      <c r="E142" s="256">
        <f ca="1">OFFSET('Actual RAB roll forward'!H$21,0,D142-1)-SUM('Actual RAB roll forward'!H170:OFFSET('Actual RAB roll forward'!H170,0,Input!$Y$7-1))</f>
        <v>0</v>
      </c>
      <c r="F142" s="256">
        <f>IF(A10stdlife="N/A",0,IF(E142=0,0,A10stdlife+D142-Input!$Y$7))</f>
        <v>0</v>
      </c>
      <c r="G142" s="257"/>
      <c r="H142" s="256"/>
      <c r="I142" s="256"/>
      <c r="J142" s="256"/>
      <c r="K142" s="256"/>
      <c r="L142" s="256"/>
      <c r="M142" s="9"/>
      <c r="N142" s="9"/>
      <c r="O142" s="9"/>
      <c r="P142" s="9"/>
      <c r="Q142" s="9"/>
      <c r="R142" s="46"/>
      <c r="S142" s="46"/>
      <c r="T142" s="46"/>
      <c r="U142" s="46"/>
      <c r="V142" s="46"/>
      <c r="W142" s="46"/>
      <c r="X142" s="46"/>
      <c r="Y142" s="46"/>
    </row>
    <row r="143" spans="1:25" hidden="1" outlineLevel="1">
      <c r="A143" s="9"/>
      <c r="B143" s="9"/>
      <c r="C143" s="539"/>
      <c r="D143" s="87">
        <v>9</v>
      </c>
      <c r="E143" s="256">
        <f ca="1">OFFSET('Actual RAB roll forward'!H$21,0,D143-1)-SUM('Actual RAB roll forward'!H171:OFFSET('Actual RAB roll forward'!H171,0,Input!$Y$7-1))</f>
        <v>0</v>
      </c>
      <c r="F143" s="256">
        <f>IF(A10stdlife="N/A",0,IF(E143=0,0,A10stdlife+D143-Input!$Y$7))</f>
        <v>0</v>
      </c>
      <c r="G143" s="257"/>
      <c r="H143" s="256"/>
      <c r="I143" s="256"/>
      <c r="J143" s="256"/>
      <c r="K143" s="256"/>
      <c r="L143" s="256"/>
      <c r="M143" s="9"/>
      <c r="N143" s="9"/>
      <c r="O143" s="9"/>
      <c r="P143" s="9"/>
      <c r="Q143" s="9"/>
      <c r="R143" s="46"/>
      <c r="S143" s="46"/>
      <c r="T143" s="46"/>
      <c r="U143" s="46"/>
      <c r="V143" s="46"/>
      <c r="W143" s="46"/>
      <c r="X143" s="46"/>
      <c r="Y143" s="46"/>
    </row>
    <row r="144" spans="1:25" hidden="1" outlineLevel="1">
      <c r="A144" s="9"/>
      <c r="B144" s="9"/>
      <c r="C144" s="540"/>
      <c r="D144" s="88">
        <v>10</v>
      </c>
      <c r="E144" s="256">
        <f ca="1">OFFSET('Actual RAB roll forward'!H$21,0,D144-1)-SUM('Actual RAB roll forward'!H172:OFFSET('Actual RAB roll forward'!H172,0,Input!$Y$7-1))</f>
        <v>0</v>
      </c>
      <c r="F144" s="256">
        <f>IF(A10stdlife="N/A",0,IF(E144=0,0,A10stdlife+D144-Input!$Y$7))</f>
        <v>0</v>
      </c>
      <c r="G144" s="257"/>
      <c r="H144" s="256"/>
      <c r="I144" s="256"/>
      <c r="J144" s="256"/>
      <c r="K144" s="256"/>
      <c r="L144" s="256"/>
      <c r="M144" s="9"/>
      <c r="N144" s="9"/>
      <c r="O144" s="9"/>
      <c r="P144" s="9"/>
      <c r="Q144" s="9"/>
      <c r="R144" s="46"/>
      <c r="S144" s="46"/>
      <c r="T144" s="46"/>
      <c r="U144" s="46"/>
      <c r="V144" s="46"/>
      <c r="W144" s="46"/>
      <c r="X144" s="46"/>
      <c r="Y144" s="46"/>
    </row>
    <row r="145" spans="1:25" collapsed="1">
      <c r="A145" s="9"/>
      <c r="B145" s="9"/>
      <c r="C145" s="264">
        <f>Asset10</f>
        <v>0</v>
      </c>
      <c r="D145" s="9"/>
      <c r="E145" s="256">
        <f ca="1">SUM(E134:E144)</f>
        <v>0</v>
      </c>
      <c r="F145" s="256"/>
      <c r="G145" s="257"/>
      <c r="H145" s="256"/>
      <c r="I145" s="256"/>
      <c r="J145" s="256"/>
      <c r="K145" s="256"/>
      <c r="L145" s="256"/>
      <c r="M145" s="9"/>
      <c r="N145" s="9"/>
      <c r="O145" s="9"/>
      <c r="P145" s="9"/>
      <c r="Q145" s="9"/>
      <c r="R145" s="46"/>
      <c r="S145" s="46"/>
      <c r="T145" s="46"/>
      <c r="U145" s="46"/>
      <c r="V145" s="46"/>
      <c r="W145" s="46"/>
      <c r="X145" s="46"/>
      <c r="Y145" s="46"/>
    </row>
    <row r="146" spans="1:25" hidden="1" outlineLevel="1">
      <c r="A146" s="9"/>
      <c r="B146" s="9"/>
      <c r="C146" s="264"/>
      <c r="D146" s="9"/>
      <c r="E146" s="256"/>
      <c r="F146" s="256"/>
      <c r="G146" s="257"/>
      <c r="H146" s="256"/>
      <c r="I146" s="256"/>
      <c r="J146" s="256"/>
      <c r="K146" s="256"/>
      <c r="L146" s="256"/>
      <c r="M146" s="9"/>
      <c r="N146" s="9"/>
      <c r="O146" s="9"/>
      <c r="P146" s="9"/>
      <c r="Q146" s="9"/>
      <c r="R146" s="46"/>
      <c r="S146" s="46"/>
      <c r="T146" s="46"/>
      <c r="U146" s="46"/>
      <c r="V146" s="46"/>
      <c r="W146" s="46"/>
      <c r="X146" s="46"/>
      <c r="Y146" s="46"/>
    </row>
    <row r="147" spans="1:25" hidden="1" outlineLevel="1">
      <c r="A147" s="9"/>
      <c r="B147" s="255">
        <f>Asset11</f>
        <v>0</v>
      </c>
      <c r="C147" s="9"/>
      <c r="D147" s="9"/>
      <c r="E147" s="37"/>
      <c r="F147" s="37"/>
      <c r="G147" s="257"/>
      <c r="H147" s="37"/>
      <c r="I147" s="37"/>
      <c r="J147" s="37"/>
      <c r="K147" s="37"/>
      <c r="L147" s="37"/>
      <c r="M147" s="9"/>
      <c r="N147" s="9"/>
      <c r="O147" s="9"/>
      <c r="P147" s="9"/>
      <c r="Q147" s="9"/>
      <c r="R147" s="46"/>
      <c r="S147" s="46"/>
      <c r="T147" s="46"/>
      <c r="U147" s="46"/>
      <c r="V147" s="46"/>
      <c r="W147" s="46"/>
      <c r="X147" s="46"/>
      <c r="Y147" s="46"/>
    </row>
    <row r="148" spans="1:25" ht="12.75" hidden="1" customHeight="1" outlineLevel="1">
      <c r="A148" s="9"/>
      <c r="B148" s="9"/>
      <c r="C148" s="541" t="s">
        <v>28</v>
      </c>
      <c r="D148" s="542"/>
      <c r="E148" s="256">
        <f ca="1">A11value-SUM('Actual RAB roll forward'!H174:OFFSET('Actual RAB roll forward'!H174,0,Input!$Y$7-1))</f>
        <v>0</v>
      </c>
      <c r="F148" s="256">
        <f>IF(A11remlife="N/A",0,A11remlife-Input!$Y$7)</f>
        <v>0</v>
      </c>
      <c r="G148" s="257"/>
      <c r="H148" s="256"/>
      <c r="I148" s="256"/>
      <c r="J148" s="256"/>
      <c r="K148" s="256"/>
      <c r="L148" s="256"/>
      <c r="M148" s="9"/>
      <c r="N148" s="9"/>
      <c r="O148" s="9"/>
      <c r="P148" s="9"/>
      <c r="Q148" s="9"/>
      <c r="R148" s="46"/>
      <c r="S148" s="46"/>
      <c r="T148" s="46"/>
      <c r="U148" s="46"/>
      <c r="V148" s="46"/>
      <c r="W148" s="46"/>
      <c r="X148" s="46"/>
      <c r="Y148" s="46"/>
    </row>
    <row r="149" spans="1:25" ht="12.75" hidden="1" customHeight="1" outlineLevel="1">
      <c r="A149" s="9"/>
      <c r="B149" s="9"/>
      <c r="C149" s="538" t="s">
        <v>86</v>
      </c>
      <c r="D149" s="87">
        <v>1</v>
      </c>
      <c r="E149" s="256">
        <f ca="1">OFFSET('Actual RAB roll forward'!H$22,0,D149-1)-SUM('Actual RAB roll forward'!H176:OFFSET('Actual RAB roll forward'!H176,0,Input!$Y$7-1))</f>
        <v>0</v>
      </c>
      <c r="F149" s="256">
        <f>IF(A11stdlife="N/A",0,IF(E149=0,0,A11stdlife+D149-Input!$Y$7))</f>
        <v>0</v>
      </c>
      <c r="G149" s="257"/>
      <c r="H149" s="256"/>
      <c r="I149" s="256"/>
      <c r="J149" s="256"/>
      <c r="K149" s="256"/>
      <c r="L149" s="256"/>
      <c r="M149" s="9"/>
      <c r="N149" s="9"/>
      <c r="O149" s="9"/>
      <c r="P149" s="9"/>
      <c r="Q149" s="9"/>
      <c r="R149" s="46"/>
      <c r="S149" s="46"/>
      <c r="T149" s="46"/>
      <c r="U149" s="46"/>
      <c r="V149" s="46"/>
      <c r="W149" s="46"/>
      <c r="X149" s="46"/>
      <c r="Y149" s="46"/>
    </row>
    <row r="150" spans="1:25" hidden="1" outlineLevel="1">
      <c r="A150" s="9"/>
      <c r="B150" s="9"/>
      <c r="C150" s="539"/>
      <c r="D150" s="87">
        <v>2</v>
      </c>
      <c r="E150" s="256">
        <f ca="1">OFFSET('Actual RAB roll forward'!H$22,0,D150-1)-SUM('Actual RAB roll forward'!H177:OFFSET('Actual RAB roll forward'!H177,0,Input!$Y$7-1))</f>
        <v>0</v>
      </c>
      <c r="F150" s="256">
        <f>IF(A11stdlife="N/A",0,IF(E150=0,0,A11stdlife+D150-Input!$Y$7))</f>
        <v>0</v>
      </c>
      <c r="G150" s="257"/>
      <c r="H150" s="256"/>
      <c r="I150" s="256"/>
      <c r="J150" s="256"/>
      <c r="K150" s="256"/>
      <c r="L150" s="256"/>
      <c r="M150" s="9"/>
      <c r="N150" s="9"/>
      <c r="O150" s="9"/>
      <c r="P150" s="9"/>
      <c r="Q150" s="9"/>
      <c r="R150" s="46"/>
      <c r="S150" s="46"/>
      <c r="T150" s="46"/>
      <c r="U150" s="46"/>
      <c r="V150" s="46"/>
      <c r="W150" s="46"/>
      <c r="X150" s="46"/>
      <c r="Y150" s="46"/>
    </row>
    <row r="151" spans="1:25" hidden="1" outlineLevel="1">
      <c r="A151" s="9"/>
      <c r="B151" s="9"/>
      <c r="C151" s="539"/>
      <c r="D151" s="87">
        <v>3</v>
      </c>
      <c r="E151" s="256">
        <f ca="1">OFFSET('Actual RAB roll forward'!H$22,0,D151-1)-SUM('Actual RAB roll forward'!H178:OFFSET('Actual RAB roll forward'!H178,0,Input!$Y$7-1))</f>
        <v>0</v>
      </c>
      <c r="F151" s="256">
        <f>IF(A11stdlife="N/A",0,IF(E151=0,0,A11stdlife+D151-Input!$Y$7))</f>
        <v>0</v>
      </c>
      <c r="G151" s="257"/>
      <c r="H151" s="256"/>
      <c r="I151" s="256"/>
      <c r="J151" s="256"/>
      <c r="K151" s="256"/>
      <c r="L151" s="256"/>
      <c r="M151" s="9"/>
      <c r="N151" s="9"/>
      <c r="O151" s="9"/>
      <c r="P151" s="9"/>
      <c r="Q151" s="9"/>
      <c r="R151" s="46"/>
      <c r="S151" s="46"/>
      <c r="T151" s="46"/>
      <c r="U151" s="46"/>
      <c r="V151" s="46"/>
      <c r="W151" s="46"/>
      <c r="X151" s="46"/>
      <c r="Y151" s="46"/>
    </row>
    <row r="152" spans="1:25" hidden="1" outlineLevel="1">
      <c r="A152" s="9"/>
      <c r="B152" s="9"/>
      <c r="C152" s="539"/>
      <c r="D152" s="87">
        <v>4</v>
      </c>
      <c r="E152" s="256">
        <f ca="1">OFFSET('Actual RAB roll forward'!H$22,0,D152-1)-SUM('Actual RAB roll forward'!H179:OFFSET('Actual RAB roll forward'!H179,0,Input!$Y$7-1))</f>
        <v>0</v>
      </c>
      <c r="F152" s="256">
        <f>IF(A11stdlife="N/A",0,IF(E152=0,0,A11stdlife+D152-Input!$Y$7))</f>
        <v>0</v>
      </c>
      <c r="G152" s="257"/>
      <c r="H152" s="256"/>
      <c r="I152" s="256"/>
      <c r="J152" s="256"/>
      <c r="K152" s="256"/>
      <c r="L152" s="256"/>
      <c r="M152" s="9"/>
      <c r="N152" s="9"/>
      <c r="O152" s="9"/>
      <c r="P152" s="9"/>
      <c r="Q152" s="9"/>
      <c r="R152" s="46"/>
      <c r="S152" s="46"/>
      <c r="T152" s="46"/>
      <c r="U152" s="46"/>
      <c r="V152" s="46"/>
      <c r="W152" s="46"/>
      <c r="X152" s="46"/>
      <c r="Y152" s="46"/>
    </row>
    <row r="153" spans="1:25" hidden="1" outlineLevel="1">
      <c r="A153" s="9"/>
      <c r="B153" s="9"/>
      <c r="C153" s="539"/>
      <c r="D153" s="87">
        <v>5</v>
      </c>
      <c r="E153" s="256">
        <f ca="1">OFFSET('Actual RAB roll forward'!H$22,0,D153-1)-SUM('Actual RAB roll forward'!H180:OFFSET('Actual RAB roll forward'!H180,0,Input!$Y$7-1))</f>
        <v>0</v>
      </c>
      <c r="F153" s="256">
        <f>IF(A11stdlife="N/A",0,IF(E153=0,0,A11stdlife+D153-Input!$Y$7))</f>
        <v>0</v>
      </c>
      <c r="G153" s="257"/>
      <c r="H153" s="256"/>
      <c r="I153" s="256"/>
      <c r="J153" s="256"/>
      <c r="K153" s="256"/>
      <c r="L153" s="256"/>
      <c r="M153" s="9"/>
      <c r="N153" s="9"/>
      <c r="O153" s="9"/>
      <c r="P153" s="9"/>
      <c r="Q153" s="9"/>
      <c r="R153" s="46"/>
      <c r="S153" s="46"/>
      <c r="T153" s="46"/>
      <c r="U153" s="46"/>
      <c r="V153" s="46"/>
      <c r="W153" s="46"/>
      <c r="X153" s="46"/>
      <c r="Y153" s="46"/>
    </row>
    <row r="154" spans="1:25" hidden="1" outlineLevel="1">
      <c r="A154" s="9"/>
      <c r="B154" s="9"/>
      <c r="C154" s="539"/>
      <c r="D154" s="87">
        <v>6</v>
      </c>
      <c r="E154" s="256">
        <f ca="1">OFFSET('Actual RAB roll forward'!H$22,0,D154-1)-SUM('Actual RAB roll forward'!H181:OFFSET('Actual RAB roll forward'!H181,0,Input!$Y$7-1))</f>
        <v>0</v>
      </c>
      <c r="F154" s="256">
        <f>IF(A11stdlife="N/A",0,IF(E154=0,0,A11stdlife+D154-Input!$Y$7))</f>
        <v>0</v>
      </c>
      <c r="G154" s="257"/>
      <c r="H154" s="256"/>
      <c r="I154" s="256"/>
      <c r="J154" s="256"/>
      <c r="K154" s="256"/>
      <c r="L154" s="256"/>
      <c r="M154" s="9"/>
      <c r="N154" s="9"/>
      <c r="O154" s="9"/>
      <c r="P154" s="9"/>
      <c r="Q154" s="9"/>
      <c r="R154" s="46"/>
      <c r="S154" s="46"/>
      <c r="T154" s="46"/>
      <c r="U154" s="46"/>
      <c r="V154" s="46"/>
      <c r="W154" s="46"/>
      <c r="X154" s="46"/>
      <c r="Y154" s="46"/>
    </row>
    <row r="155" spans="1:25" hidden="1" outlineLevel="1">
      <c r="A155" s="9"/>
      <c r="B155" s="9"/>
      <c r="C155" s="539"/>
      <c r="D155" s="87">
        <v>7</v>
      </c>
      <c r="E155" s="256">
        <f ca="1">OFFSET('Actual RAB roll forward'!H$22,0,D155-1)-SUM('Actual RAB roll forward'!H182:OFFSET('Actual RAB roll forward'!H182,0,Input!$Y$7-1))</f>
        <v>0</v>
      </c>
      <c r="F155" s="256">
        <f>IF(A11stdlife="N/A",0,IF(E155=0,0,A11stdlife+D155-Input!$Y$7))</f>
        <v>0</v>
      </c>
      <c r="G155" s="257"/>
      <c r="H155" s="256"/>
      <c r="I155" s="256"/>
      <c r="J155" s="256"/>
      <c r="K155" s="256"/>
      <c r="L155" s="256"/>
      <c r="M155" s="9"/>
      <c r="N155" s="9"/>
      <c r="O155" s="9"/>
      <c r="P155" s="9"/>
      <c r="Q155" s="9"/>
      <c r="R155" s="46"/>
      <c r="S155" s="46"/>
      <c r="T155" s="46"/>
      <c r="U155" s="46"/>
      <c r="V155" s="46"/>
      <c r="W155" s="46"/>
      <c r="X155" s="46"/>
      <c r="Y155" s="46"/>
    </row>
    <row r="156" spans="1:25" hidden="1" outlineLevel="1">
      <c r="A156" s="9"/>
      <c r="B156" s="9"/>
      <c r="C156" s="539"/>
      <c r="D156" s="87">
        <v>8</v>
      </c>
      <c r="E156" s="256">
        <f ca="1">OFFSET('Actual RAB roll forward'!H$22,0,D156-1)-SUM('Actual RAB roll forward'!H183:OFFSET('Actual RAB roll forward'!H183,0,Input!$Y$7-1))</f>
        <v>0</v>
      </c>
      <c r="F156" s="256">
        <f>IF(A11stdlife="N/A",0,IF(E156=0,0,A11stdlife+D156-Input!$Y$7))</f>
        <v>0</v>
      </c>
      <c r="G156" s="257"/>
      <c r="H156" s="256"/>
      <c r="I156" s="256"/>
      <c r="J156" s="256"/>
      <c r="K156" s="256"/>
      <c r="L156" s="256"/>
      <c r="M156" s="9"/>
      <c r="N156" s="9"/>
      <c r="O156" s="9"/>
      <c r="P156" s="9"/>
      <c r="Q156" s="9"/>
      <c r="R156" s="46"/>
      <c r="S156" s="46"/>
      <c r="T156" s="46"/>
      <c r="U156" s="46"/>
      <c r="V156" s="46"/>
      <c r="W156" s="46"/>
      <c r="X156" s="46"/>
      <c r="Y156" s="46"/>
    </row>
    <row r="157" spans="1:25" hidden="1" outlineLevel="1">
      <c r="A157" s="9"/>
      <c r="B157" s="9"/>
      <c r="C157" s="539"/>
      <c r="D157" s="87">
        <v>9</v>
      </c>
      <c r="E157" s="256">
        <f ca="1">OFFSET('Actual RAB roll forward'!H$22,0,D157-1)-SUM('Actual RAB roll forward'!H184:OFFSET('Actual RAB roll forward'!H184,0,Input!$Y$7-1))</f>
        <v>0</v>
      </c>
      <c r="F157" s="256">
        <f>IF(A11stdlife="N/A",0,IF(E157=0,0,A11stdlife+D157-Input!$Y$7))</f>
        <v>0</v>
      </c>
      <c r="G157" s="257"/>
      <c r="H157" s="256"/>
      <c r="I157" s="256"/>
      <c r="J157" s="256"/>
      <c r="K157" s="256"/>
      <c r="L157" s="256"/>
      <c r="M157" s="9"/>
      <c r="N157" s="9"/>
      <c r="O157" s="9"/>
      <c r="P157" s="9"/>
      <c r="Q157" s="9"/>
      <c r="R157" s="46"/>
      <c r="S157" s="46"/>
      <c r="T157" s="46"/>
      <c r="U157" s="46"/>
      <c r="V157" s="46"/>
      <c r="W157" s="46"/>
      <c r="X157" s="46"/>
      <c r="Y157" s="46"/>
    </row>
    <row r="158" spans="1:25" hidden="1" outlineLevel="1">
      <c r="A158" s="9"/>
      <c r="B158" s="9"/>
      <c r="C158" s="540"/>
      <c r="D158" s="88">
        <v>10</v>
      </c>
      <c r="E158" s="256">
        <f ca="1">OFFSET('Actual RAB roll forward'!H$22,0,D158-1)-SUM('Actual RAB roll forward'!H185:OFFSET('Actual RAB roll forward'!H185,0,Input!$Y$7-1))</f>
        <v>0</v>
      </c>
      <c r="F158" s="256">
        <f>IF(A11stdlife="N/A",0,IF(E158=0,0,A11stdlife+D158-Input!$Y$7))</f>
        <v>0</v>
      </c>
      <c r="G158" s="257"/>
      <c r="H158" s="256"/>
      <c r="I158" s="256"/>
      <c r="J158" s="256"/>
      <c r="K158" s="256"/>
      <c r="L158" s="256"/>
      <c r="M158" s="9"/>
      <c r="N158" s="9"/>
      <c r="O158" s="9"/>
      <c r="P158" s="9"/>
      <c r="Q158" s="9"/>
      <c r="R158" s="46"/>
      <c r="S158" s="46"/>
      <c r="T158" s="46"/>
      <c r="U158" s="46"/>
      <c r="V158" s="46"/>
      <c r="W158" s="46"/>
      <c r="X158" s="46"/>
      <c r="Y158" s="46"/>
    </row>
    <row r="159" spans="1:25" collapsed="1">
      <c r="A159" s="9"/>
      <c r="B159" s="9"/>
      <c r="C159" s="264">
        <f>Asset11</f>
        <v>0</v>
      </c>
      <c r="D159" s="9"/>
      <c r="E159" s="256">
        <f ca="1">SUM(E148:E158)</f>
        <v>0</v>
      </c>
      <c r="F159" s="256"/>
      <c r="G159" s="257"/>
      <c r="H159" s="256"/>
      <c r="I159" s="256"/>
      <c r="J159" s="256"/>
      <c r="K159" s="256"/>
      <c r="L159" s="256"/>
      <c r="M159" s="9"/>
      <c r="N159" s="9"/>
      <c r="O159" s="9"/>
      <c r="P159" s="9"/>
      <c r="Q159" s="9"/>
      <c r="R159" s="46"/>
      <c r="S159" s="46"/>
      <c r="T159" s="46"/>
      <c r="U159" s="46"/>
      <c r="V159" s="46"/>
      <c r="W159" s="46"/>
      <c r="X159" s="46"/>
      <c r="Y159" s="46"/>
    </row>
    <row r="160" spans="1:25" hidden="1" outlineLevel="1">
      <c r="A160" s="9"/>
      <c r="B160" s="9"/>
      <c r="C160" s="264"/>
      <c r="D160" s="9"/>
      <c r="E160" s="256"/>
      <c r="F160" s="256"/>
      <c r="G160" s="257"/>
      <c r="H160" s="256"/>
      <c r="I160" s="256"/>
      <c r="J160" s="256"/>
      <c r="K160" s="256"/>
      <c r="L160" s="256"/>
      <c r="M160" s="9"/>
      <c r="N160" s="9"/>
      <c r="O160" s="9"/>
      <c r="P160" s="9"/>
      <c r="Q160" s="9"/>
      <c r="R160" s="46"/>
      <c r="S160" s="46"/>
      <c r="T160" s="46"/>
      <c r="U160" s="46"/>
      <c r="V160" s="46"/>
      <c r="W160" s="46"/>
      <c r="X160" s="46"/>
      <c r="Y160" s="46"/>
    </row>
    <row r="161" spans="1:25" hidden="1" outlineLevel="1">
      <c r="A161" s="9"/>
      <c r="B161" s="255">
        <f>Asset12</f>
        <v>0</v>
      </c>
      <c r="C161" s="9"/>
      <c r="D161" s="9"/>
      <c r="E161" s="37"/>
      <c r="F161" s="37"/>
      <c r="G161" s="257"/>
      <c r="H161" s="37"/>
      <c r="I161" s="37"/>
      <c r="J161" s="37"/>
      <c r="K161" s="37"/>
      <c r="L161" s="37"/>
      <c r="M161" s="9"/>
      <c r="N161" s="9"/>
      <c r="O161" s="9"/>
      <c r="P161" s="9"/>
      <c r="Q161" s="9"/>
      <c r="R161" s="46"/>
      <c r="S161" s="46"/>
      <c r="T161" s="46"/>
      <c r="U161" s="46"/>
      <c r="V161" s="46"/>
      <c r="W161" s="46"/>
      <c r="X161" s="46"/>
      <c r="Y161" s="46"/>
    </row>
    <row r="162" spans="1:25" ht="12.75" hidden="1" customHeight="1" outlineLevel="1">
      <c r="A162" s="9"/>
      <c r="B162" s="9"/>
      <c r="C162" s="541" t="s">
        <v>28</v>
      </c>
      <c r="D162" s="542"/>
      <c r="E162" s="256">
        <f ca="1">A12value-SUM('Actual RAB roll forward'!H187:OFFSET('Actual RAB roll forward'!H187,0,Input!$Y$7-1))</f>
        <v>0</v>
      </c>
      <c r="F162" s="256">
        <f>IF(A12remlife="N/A",0,A12remlife-Input!$Y$7)</f>
        <v>0</v>
      </c>
      <c r="G162" s="257"/>
      <c r="H162" s="256"/>
      <c r="I162" s="256"/>
      <c r="J162" s="256"/>
      <c r="K162" s="256"/>
      <c r="L162" s="256"/>
      <c r="M162" s="9"/>
      <c r="N162" s="9"/>
      <c r="O162" s="9"/>
      <c r="P162" s="9"/>
      <c r="Q162" s="9"/>
      <c r="R162" s="46"/>
      <c r="S162" s="46"/>
      <c r="T162" s="46"/>
      <c r="U162" s="46"/>
      <c r="V162" s="46"/>
      <c r="W162" s="46"/>
      <c r="X162" s="46"/>
      <c r="Y162" s="46"/>
    </row>
    <row r="163" spans="1:25" ht="12.75" hidden="1" customHeight="1" outlineLevel="1">
      <c r="A163" s="9"/>
      <c r="B163" s="9"/>
      <c r="C163" s="538" t="s">
        <v>86</v>
      </c>
      <c r="D163" s="87">
        <v>1</v>
      </c>
      <c r="E163" s="256">
        <f ca="1">OFFSET('Actual RAB roll forward'!H$23,0,D163-1)-SUM('Actual RAB roll forward'!H189:OFFSET('Actual RAB roll forward'!H189,0,Input!$Y$7-1))</f>
        <v>0</v>
      </c>
      <c r="F163" s="256">
        <f>IF(A12stdlife="N/A",0,IF(E163=0,0,A12stdlife+D163-Input!$Y$7))</f>
        <v>0</v>
      </c>
      <c r="G163" s="257"/>
      <c r="H163" s="256"/>
      <c r="I163" s="256"/>
      <c r="J163" s="256"/>
      <c r="K163" s="256"/>
      <c r="L163" s="256"/>
      <c r="M163" s="9"/>
      <c r="N163" s="9"/>
      <c r="O163" s="9"/>
      <c r="P163" s="9"/>
      <c r="Q163" s="9"/>
      <c r="R163" s="46"/>
      <c r="S163" s="46"/>
      <c r="T163" s="46"/>
      <c r="U163" s="46"/>
      <c r="V163" s="46"/>
      <c r="W163" s="46"/>
      <c r="X163" s="46"/>
      <c r="Y163" s="46"/>
    </row>
    <row r="164" spans="1:25" hidden="1" outlineLevel="1">
      <c r="A164" s="9"/>
      <c r="B164" s="9"/>
      <c r="C164" s="539"/>
      <c r="D164" s="87">
        <v>2</v>
      </c>
      <c r="E164" s="256">
        <f ca="1">OFFSET('Actual RAB roll forward'!H$23,0,D164-1)-SUM('Actual RAB roll forward'!H190:OFFSET('Actual RAB roll forward'!H190,0,Input!$Y$7-1))</f>
        <v>0</v>
      </c>
      <c r="F164" s="256">
        <f>IF(A12stdlife="N/A",0,IF(E164=0,0,A12stdlife+D164-Input!$Y$7))</f>
        <v>0</v>
      </c>
      <c r="G164" s="257"/>
      <c r="H164" s="256"/>
      <c r="I164" s="256"/>
      <c r="J164" s="256"/>
      <c r="K164" s="256"/>
      <c r="L164" s="256"/>
      <c r="M164" s="9"/>
      <c r="N164" s="9"/>
      <c r="O164" s="9"/>
      <c r="P164" s="9"/>
      <c r="Q164" s="9"/>
      <c r="R164" s="46"/>
      <c r="S164" s="46"/>
      <c r="T164" s="46"/>
      <c r="U164" s="46"/>
      <c r="V164" s="46"/>
      <c r="W164" s="46"/>
      <c r="X164" s="46"/>
      <c r="Y164" s="46"/>
    </row>
    <row r="165" spans="1:25" hidden="1" outlineLevel="1">
      <c r="A165" s="9"/>
      <c r="B165" s="9"/>
      <c r="C165" s="539"/>
      <c r="D165" s="87">
        <v>3</v>
      </c>
      <c r="E165" s="256">
        <f ca="1">OFFSET('Actual RAB roll forward'!H$23,0,D165-1)-SUM('Actual RAB roll forward'!H191:OFFSET('Actual RAB roll forward'!H191,0,Input!$Y$7-1))</f>
        <v>0</v>
      </c>
      <c r="F165" s="256">
        <f>IF(A12stdlife="N/A",0,IF(E165=0,0,A12stdlife+D165-Input!$Y$7))</f>
        <v>0</v>
      </c>
      <c r="G165" s="257"/>
      <c r="H165" s="256"/>
      <c r="I165" s="256"/>
      <c r="J165" s="256"/>
      <c r="K165" s="256"/>
      <c r="L165" s="256"/>
      <c r="M165" s="9"/>
      <c r="N165" s="9"/>
      <c r="O165" s="9"/>
      <c r="P165" s="9"/>
      <c r="Q165" s="9"/>
      <c r="R165" s="46"/>
      <c r="S165" s="46"/>
      <c r="T165" s="46"/>
      <c r="U165" s="46"/>
      <c r="V165" s="46"/>
      <c r="W165" s="46"/>
      <c r="X165" s="46"/>
      <c r="Y165" s="46"/>
    </row>
    <row r="166" spans="1:25" hidden="1" outlineLevel="1">
      <c r="A166" s="9"/>
      <c r="B166" s="9"/>
      <c r="C166" s="539"/>
      <c r="D166" s="87">
        <v>4</v>
      </c>
      <c r="E166" s="256">
        <f ca="1">OFFSET('Actual RAB roll forward'!H$23,0,D166-1)-SUM('Actual RAB roll forward'!H192:OFFSET('Actual RAB roll forward'!H192,0,Input!$Y$7-1))</f>
        <v>0</v>
      </c>
      <c r="F166" s="256">
        <f>IF(A12stdlife="N/A",0,IF(E166=0,0,A12stdlife+D166-Input!$Y$7))</f>
        <v>0</v>
      </c>
      <c r="G166" s="257"/>
      <c r="H166" s="256"/>
      <c r="I166" s="256"/>
      <c r="J166" s="256"/>
      <c r="K166" s="256"/>
      <c r="L166" s="256"/>
      <c r="M166" s="9"/>
      <c r="N166" s="9"/>
      <c r="O166" s="9"/>
      <c r="P166" s="9"/>
      <c r="Q166" s="9"/>
      <c r="R166" s="46"/>
      <c r="S166" s="46"/>
      <c r="T166" s="46"/>
      <c r="U166" s="46"/>
      <c r="V166" s="46"/>
      <c r="W166" s="46"/>
      <c r="X166" s="46"/>
      <c r="Y166" s="46"/>
    </row>
    <row r="167" spans="1:25" hidden="1" outlineLevel="1">
      <c r="A167" s="9"/>
      <c r="B167" s="9"/>
      <c r="C167" s="539"/>
      <c r="D167" s="87">
        <v>5</v>
      </c>
      <c r="E167" s="256">
        <f ca="1">OFFSET('Actual RAB roll forward'!H$23,0,D167-1)-SUM('Actual RAB roll forward'!H193:OFFSET('Actual RAB roll forward'!H193,0,Input!$Y$7-1))</f>
        <v>0</v>
      </c>
      <c r="F167" s="256">
        <f>IF(A12stdlife="N/A",0,IF(E167=0,0,A12stdlife+D167-Input!$Y$7))</f>
        <v>0</v>
      </c>
      <c r="G167" s="257"/>
      <c r="H167" s="256"/>
      <c r="I167" s="256"/>
      <c r="J167" s="256"/>
      <c r="K167" s="256"/>
      <c r="L167" s="256"/>
      <c r="M167" s="9"/>
      <c r="N167" s="9"/>
      <c r="O167" s="9"/>
      <c r="P167" s="9"/>
      <c r="Q167" s="9"/>
      <c r="R167" s="46"/>
      <c r="S167" s="46"/>
      <c r="T167" s="46"/>
      <c r="U167" s="46"/>
      <c r="V167" s="46"/>
      <c r="W167" s="46"/>
      <c r="X167" s="46"/>
      <c r="Y167" s="46"/>
    </row>
    <row r="168" spans="1:25" hidden="1" outlineLevel="1">
      <c r="A168" s="9"/>
      <c r="B168" s="9"/>
      <c r="C168" s="539"/>
      <c r="D168" s="87">
        <v>6</v>
      </c>
      <c r="E168" s="256">
        <f ca="1">OFFSET('Actual RAB roll forward'!H$23,0,D168-1)-SUM('Actual RAB roll forward'!H194:OFFSET('Actual RAB roll forward'!H194,0,Input!$Y$7-1))</f>
        <v>0</v>
      </c>
      <c r="F168" s="256">
        <f>IF(A12stdlife="N/A",0,IF(E168=0,0,A12stdlife+D168-Input!$Y$7))</f>
        <v>0</v>
      </c>
      <c r="G168" s="257"/>
      <c r="H168" s="256"/>
      <c r="I168" s="256"/>
      <c r="J168" s="256"/>
      <c r="K168" s="256"/>
      <c r="L168" s="256"/>
      <c r="M168" s="9"/>
      <c r="N168" s="9"/>
      <c r="O168" s="9"/>
      <c r="P168" s="9"/>
      <c r="Q168" s="9"/>
      <c r="R168" s="46"/>
      <c r="S168" s="46"/>
      <c r="T168" s="46"/>
      <c r="U168" s="46"/>
      <c r="V168" s="46"/>
      <c r="W168" s="46"/>
      <c r="X168" s="46"/>
      <c r="Y168" s="46"/>
    </row>
    <row r="169" spans="1:25" hidden="1" outlineLevel="1">
      <c r="A169" s="9"/>
      <c r="B169" s="9"/>
      <c r="C169" s="539"/>
      <c r="D169" s="87">
        <v>7</v>
      </c>
      <c r="E169" s="256">
        <f ca="1">OFFSET('Actual RAB roll forward'!H$23,0,D169-1)-SUM('Actual RAB roll forward'!H195:OFFSET('Actual RAB roll forward'!H195,0,Input!$Y$7-1))</f>
        <v>0</v>
      </c>
      <c r="F169" s="256">
        <f>IF(A12stdlife="N/A",0,IF(E169=0,0,A12stdlife+D169-Input!$Y$7))</f>
        <v>0</v>
      </c>
      <c r="G169" s="257"/>
      <c r="H169" s="256"/>
      <c r="I169" s="256"/>
      <c r="J169" s="256"/>
      <c r="K169" s="256"/>
      <c r="L169" s="256"/>
      <c r="M169" s="9"/>
      <c r="N169" s="9"/>
      <c r="O169" s="9"/>
      <c r="P169" s="9"/>
      <c r="Q169" s="9"/>
      <c r="R169" s="46"/>
      <c r="S169" s="46"/>
      <c r="T169" s="46"/>
      <c r="U169" s="46"/>
      <c r="V169" s="46"/>
      <c r="W169" s="46"/>
      <c r="X169" s="46"/>
      <c r="Y169" s="46"/>
    </row>
    <row r="170" spans="1:25" hidden="1" outlineLevel="1">
      <c r="A170" s="9"/>
      <c r="B170" s="9"/>
      <c r="C170" s="539"/>
      <c r="D170" s="87">
        <v>8</v>
      </c>
      <c r="E170" s="256">
        <f ca="1">OFFSET('Actual RAB roll forward'!H$23,0,D170-1)-SUM('Actual RAB roll forward'!H196:OFFSET('Actual RAB roll forward'!H196,0,Input!$Y$7-1))</f>
        <v>0</v>
      </c>
      <c r="F170" s="256">
        <f>IF(A12stdlife="N/A",0,IF(E170=0,0,A12stdlife+D170-Input!$Y$7))</f>
        <v>0</v>
      </c>
      <c r="G170" s="257"/>
      <c r="H170" s="256"/>
      <c r="I170" s="256"/>
      <c r="J170" s="256"/>
      <c r="K170" s="256"/>
      <c r="L170" s="256"/>
      <c r="M170" s="9"/>
      <c r="N170" s="9"/>
      <c r="O170" s="9"/>
      <c r="P170" s="9"/>
      <c r="Q170" s="9"/>
      <c r="R170" s="46"/>
      <c r="S170" s="46"/>
      <c r="T170" s="46"/>
      <c r="U170" s="46"/>
      <c r="V170" s="46"/>
      <c r="W170" s="46"/>
      <c r="X170" s="46"/>
      <c r="Y170" s="46"/>
    </row>
    <row r="171" spans="1:25" hidden="1" outlineLevel="1">
      <c r="A171" s="9"/>
      <c r="B171" s="9"/>
      <c r="C171" s="539"/>
      <c r="D171" s="87">
        <v>9</v>
      </c>
      <c r="E171" s="256">
        <f ca="1">OFFSET('Actual RAB roll forward'!H$23,0,D171-1)-SUM('Actual RAB roll forward'!H197:OFFSET('Actual RAB roll forward'!H197,0,Input!$Y$7-1))</f>
        <v>0</v>
      </c>
      <c r="F171" s="256">
        <f>IF(A12stdlife="N/A",0,IF(E171=0,0,A12stdlife+D171-Input!$Y$7))</f>
        <v>0</v>
      </c>
      <c r="G171" s="257"/>
      <c r="H171" s="256"/>
      <c r="I171" s="256"/>
      <c r="J171" s="256"/>
      <c r="K171" s="256"/>
      <c r="L171" s="256"/>
      <c r="M171" s="9"/>
      <c r="N171" s="9"/>
      <c r="O171" s="9"/>
      <c r="P171" s="9"/>
      <c r="Q171" s="9"/>
      <c r="R171" s="46"/>
      <c r="S171" s="46"/>
      <c r="T171" s="46"/>
      <c r="U171" s="46"/>
      <c r="V171" s="46"/>
      <c r="W171" s="46"/>
      <c r="X171" s="46"/>
      <c r="Y171" s="46"/>
    </row>
    <row r="172" spans="1:25" hidden="1" outlineLevel="1">
      <c r="A172" s="9"/>
      <c r="B172" s="9"/>
      <c r="C172" s="540"/>
      <c r="D172" s="88">
        <v>10</v>
      </c>
      <c r="E172" s="256">
        <f ca="1">OFFSET('Actual RAB roll forward'!H$23,0,D172-1)-SUM('Actual RAB roll forward'!H198:OFFSET('Actual RAB roll forward'!H198,0,Input!$Y$7-1))</f>
        <v>0</v>
      </c>
      <c r="F172" s="256">
        <f>IF(A12stdlife="N/A",0,IF(E172=0,0,A12stdlife+D172-Input!$Y$7))</f>
        <v>0</v>
      </c>
      <c r="G172" s="257"/>
      <c r="H172" s="256"/>
      <c r="I172" s="256"/>
      <c r="J172" s="256"/>
      <c r="K172" s="256"/>
      <c r="L172" s="256"/>
      <c r="M172" s="9"/>
      <c r="N172" s="9"/>
      <c r="O172" s="9"/>
      <c r="P172" s="9"/>
      <c r="Q172" s="9"/>
      <c r="R172" s="46"/>
      <c r="S172" s="46"/>
      <c r="T172" s="46"/>
      <c r="U172" s="46"/>
      <c r="V172" s="46"/>
      <c r="W172" s="46"/>
      <c r="X172" s="46"/>
      <c r="Y172" s="46"/>
    </row>
    <row r="173" spans="1:25" collapsed="1">
      <c r="A173" s="9"/>
      <c r="B173" s="9"/>
      <c r="C173" s="264">
        <f>Asset12</f>
        <v>0</v>
      </c>
      <c r="D173" s="9"/>
      <c r="E173" s="256">
        <f ca="1">SUM(E162:E172)</f>
        <v>0</v>
      </c>
      <c r="F173" s="256"/>
      <c r="G173" s="257"/>
      <c r="H173" s="256"/>
      <c r="I173" s="256"/>
      <c r="J173" s="256"/>
      <c r="K173" s="256"/>
      <c r="L173" s="256"/>
      <c r="M173" s="9"/>
      <c r="N173" s="9"/>
      <c r="O173" s="9"/>
      <c r="P173" s="9"/>
      <c r="Q173" s="9"/>
      <c r="R173" s="46"/>
      <c r="S173" s="46"/>
      <c r="T173" s="46"/>
      <c r="U173" s="46"/>
      <c r="V173" s="46"/>
      <c r="W173" s="46"/>
      <c r="X173" s="46"/>
      <c r="Y173" s="46"/>
    </row>
    <row r="174" spans="1:25" hidden="1" outlineLevel="1">
      <c r="A174" s="9"/>
      <c r="B174" s="9"/>
      <c r="C174" s="264"/>
      <c r="D174" s="9"/>
      <c r="E174" s="256"/>
      <c r="F174" s="256"/>
      <c r="G174" s="257"/>
      <c r="H174" s="256"/>
      <c r="I174" s="256"/>
      <c r="J174" s="256"/>
      <c r="K174" s="256"/>
      <c r="L174" s="256"/>
      <c r="M174" s="9"/>
      <c r="N174" s="9"/>
      <c r="O174" s="9"/>
      <c r="P174" s="9"/>
      <c r="Q174" s="9"/>
      <c r="R174" s="46"/>
      <c r="S174" s="46"/>
      <c r="T174" s="46"/>
      <c r="U174" s="46"/>
      <c r="V174" s="46"/>
      <c r="W174" s="46"/>
      <c r="X174" s="46"/>
      <c r="Y174" s="46"/>
    </row>
    <row r="175" spans="1:25" hidden="1" outlineLevel="1">
      <c r="A175" s="9"/>
      <c r="B175" s="255">
        <f>Asset13</f>
        <v>0</v>
      </c>
      <c r="C175" s="9"/>
      <c r="D175" s="9"/>
      <c r="E175" s="37"/>
      <c r="F175" s="37"/>
      <c r="G175" s="257"/>
      <c r="H175" s="37"/>
      <c r="I175" s="37"/>
      <c r="J175" s="37"/>
      <c r="K175" s="37"/>
      <c r="L175" s="37"/>
      <c r="M175" s="9"/>
      <c r="N175" s="9"/>
      <c r="O175" s="9"/>
      <c r="P175" s="9"/>
      <c r="Q175" s="9"/>
      <c r="R175" s="46"/>
      <c r="S175" s="46"/>
      <c r="T175" s="46"/>
      <c r="U175" s="46"/>
      <c r="V175" s="46"/>
      <c r="W175" s="46"/>
      <c r="X175" s="46"/>
      <c r="Y175" s="46"/>
    </row>
    <row r="176" spans="1:25" ht="12.75" hidden="1" customHeight="1" outlineLevel="1">
      <c r="A176" s="9"/>
      <c r="B176" s="9"/>
      <c r="C176" s="541" t="s">
        <v>28</v>
      </c>
      <c r="D176" s="542"/>
      <c r="E176" s="256">
        <f ca="1">A13value-SUM('Actual RAB roll forward'!H200:OFFSET('Actual RAB roll forward'!H200,0,Input!$Y$7-1))</f>
        <v>0</v>
      </c>
      <c r="F176" s="256">
        <f>IF(A13remlife="N/A",0,A13remlife-Input!$Y$7)</f>
        <v>0</v>
      </c>
      <c r="G176" s="257"/>
      <c r="H176" s="256"/>
      <c r="I176" s="256"/>
      <c r="J176" s="256"/>
      <c r="K176" s="256"/>
      <c r="L176" s="256"/>
      <c r="M176" s="9"/>
      <c r="N176" s="9"/>
      <c r="O176" s="9"/>
      <c r="P176" s="9"/>
      <c r="Q176" s="9"/>
      <c r="R176" s="46"/>
      <c r="S176" s="46"/>
      <c r="T176" s="46"/>
      <c r="U176" s="46"/>
      <c r="V176" s="46"/>
      <c r="W176" s="46"/>
      <c r="X176" s="46"/>
      <c r="Y176" s="46"/>
    </row>
    <row r="177" spans="1:25" ht="12.75" hidden="1" customHeight="1" outlineLevel="1">
      <c r="A177" s="9"/>
      <c r="B177" s="9"/>
      <c r="C177" s="538" t="s">
        <v>86</v>
      </c>
      <c r="D177" s="87">
        <v>1</v>
      </c>
      <c r="E177" s="256">
        <f ca="1">OFFSET('Actual RAB roll forward'!H$24,0,D177-1)-SUM('Actual RAB roll forward'!H202:OFFSET('Actual RAB roll forward'!H202,0,Input!$Y$7-1))</f>
        <v>0</v>
      </c>
      <c r="F177" s="256">
        <f>IF(A13stdlife="N/A",0,IF(E177=0,0,A13stdlife+D177-Input!$Y$7))</f>
        <v>0</v>
      </c>
      <c r="G177" s="257"/>
      <c r="H177" s="256"/>
      <c r="I177" s="256"/>
      <c r="J177" s="256"/>
      <c r="K177" s="256"/>
      <c r="L177" s="256"/>
      <c r="M177" s="9"/>
      <c r="N177" s="9"/>
      <c r="O177" s="9"/>
      <c r="P177" s="9"/>
      <c r="Q177" s="9"/>
      <c r="R177" s="46"/>
      <c r="S177" s="46"/>
      <c r="T177" s="46"/>
      <c r="U177" s="46"/>
      <c r="V177" s="46"/>
      <c r="W177" s="46"/>
      <c r="X177" s="46"/>
      <c r="Y177" s="46"/>
    </row>
    <row r="178" spans="1:25" hidden="1" outlineLevel="1">
      <c r="A178" s="9"/>
      <c r="B178" s="9"/>
      <c r="C178" s="539"/>
      <c r="D178" s="87">
        <v>2</v>
      </c>
      <c r="E178" s="256">
        <f ca="1">OFFSET('Actual RAB roll forward'!H$24,0,D178-1)-SUM('Actual RAB roll forward'!H203:OFFSET('Actual RAB roll forward'!H203,0,Input!$Y$7-1))</f>
        <v>0</v>
      </c>
      <c r="F178" s="256">
        <f>IF(A13stdlife="N/A",0,IF(E178=0,0,A13stdlife+D178-Input!$Y$7))</f>
        <v>0</v>
      </c>
      <c r="G178" s="257"/>
      <c r="H178" s="256"/>
      <c r="I178" s="256"/>
      <c r="J178" s="256"/>
      <c r="K178" s="256"/>
      <c r="L178" s="256"/>
      <c r="M178" s="9"/>
      <c r="N178" s="9"/>
      <c r="O178" s="9"/>
      <c r="P178" s="9"/>
      <c r="Q178" s="9"/>
      <c r="R178" s="46"/>
      <c r="S178" s="46"/>
      <c r="T178" s="46"/>
      <c r="U178" s="46"/>
      <c r="V178" s="46"/>
      <c r="W178" s="46"/>
      <c r="X178" s="46"/>
      <c r="Y178" s="46"/>
    </row>
    <row r="179" spans="1:25" hidden="1" outlineLevel="1">
      <c r="A179" s="9"/>
      <c r="B179" s="9"/>
      <c r="C179" s="539"/>
      <c r="D179" s="87">
        <v>3</v>
      </c>
      <c r="E179" s="256">
        <f ca="1">OFFSET('Actual RAB roll forward'!H$24,0,D179-1)-SUM('Actual RAB roll forward'!H204:OFFSET('Actual RAB roll forward'!H204,0,Input!$Y$7-1))</f>
        <v>0</v>
      </c>
      <c r="F179" s="256">
        <f>IF(A13stdlife="N/A",0,IF(E179=0,0,A13stdlife+D179-Input!$Y$7))</f>
        <v>0</v>
      </c>
      <c r="G179" s="257"/>
      <c r="H179" s="256"/>
      <c r="I179" s="256"/>
      <c r="J179" s="256"/>
      <c r="K179" s="256"/>
      <c r="L179" s="256"/>
      <c r="M179" s="9"/>
      <c r="N179" s="9"/>
      <c r="O179" s="9"/>
      <c r="P179" s="9"/>
      <c r="Q179" s="9"/>
      <c r="R179" s="46"/>
      <c r="S179" s="46"/>
      <c r="T179" s="46"/>
      <c r="U179" s="46"/>
      <c r="V179" s="46"/>
      <c r="W179" s="46"/>
      <c r="X179" s="46"/>
      <c r="Y179" s="46"/>
    </row>
    <row r="180" spans="1:25" hidden="1" outlineLevel="1">
      <c r="A180" s="9"/>
      <c r="B180" s="9"/>
      <c r="C180" s="539"/>
      <c r="D180" s="87">
        <v>4</v>
      </c>
      <c r="E180" s="256">
        <f ca="1">OFFSET('Actual RAB roll forward'!H$24,0,D180-1)-SUM('Actual RAB roll forward'!H205:OFFSET('Actual RAB roll forward'!H205,0,Input!$Y$7-1))</f>
        <v>0</v>
      </c>
      <c r="F180" s="256">
        <f>IF(A13stdlife="N/A",0,IF(E180=0,0,A13stdlife+D180-Input!$Y$7))</f>
        <v>0</v>
      </c>
      <c r="G180" s="257"/>
      <c r="H180" s="256"/>
      <c r="I180" s="256"/>
      <c r="J180" s="256"/>
      <c r="K180" s="256"/>
      <c r="L180" s="256"/>
      <c r="M180" s="9"/>
      <c r="N180" s="9"/>
      <c r="O180" s="9"/>
      <c r="P180" s="9"/>
      <c r="Q180" s="9"/>
      <c r="R180" s="46"/>
      <c r="S180" s="46"/>
      <c r="T180" s="46"/>
      <c r="U180" s="46"/>
      <c r="V180" s="46"/>
      <c r="W180" s="46"/>
      <c r="X180" s="46"/>
      <c r="Y180" s="46"/>
    </row>
    <row r="181" spans="1:25" hidden="1" outlineLevel="1">
      <c r="A181" s="9"/>
      <c r="B181" s="9"/>
      <c r="C181" s="539"/>
      <c r="D181" s="87">
        <v>5</v>
      </c>
      <c r="E181" s="256">
        <f ca="1">OFFSET('Actual RAB roll forward'!H$24,0,D181-1)-SUM('Actual RAB roll forward'!H206:OFFSET('Actual RAB roll forward'!H206,0,Input!$Y$7-1))</f>
        <v>0</v>
      </c>
      <c r="F181" s="256">
        <f>IF(A13stdlife="N/A",0,IF(E181=0,0,A13stdlife+D181-Input!$Y$7))</f>
        <v>0</v>
      </c>
      <c r="G181" s="257"/>
      <c r="H181" s="256"/>
      <c r="I181" s="256"/>
      <c r="J181" s="256"/>
      <c r="K181" s="256"/>
      <c r="L181" s="256"/>
      <c r="M181" s="9"/>
      <c r="N181" s="9"/>
      <c r="O181" s="9"/>
      <c r="P181" s="9"/>
      <c r="Q181" s="9"/>
      <c r="R181" s="46"/>
      <c r="S181" s="46"/>
      <c r="T181" s="46"/>
      <c r="U181" s="46"/>
      <c r="V181" s="46"/>
      <c r="W181" s="46"/>
      <c r="X181" s="46"/>
      <c r="Y181" s="46"/>
    </row>
    <row r="182" spans="1:25" hidden="1" outlineLevel="1">
      <c r="A182" s="9"/>
      <c r="B182" s="9"/>
      <c r="C182" s="539"/>
      <c r="D182" s="87">
        <v>6</v>
      </c>
      <c r="E182" s="256">
        <f ca="1">OFFSET('Actual RAB roll forward'!H$24,0,D182-1)-SUM('Actual RAB roll forward'!H207:OFFSET('Actual RAB roll forward'!H207,0,Input!$Y$7-1))</f>
        <v>0</v>
      </c>
      <c r="F182" s="256">
        <f>IF(A13stdlife="N/A",0,IF(E182=0,0,A13stdlife+D182-Input!$Y$7))</f>
        <v>0</v>
      </c>
      <c r="G182" s="257"/>
      <c r="H182" s="256"/>
      <c r="I182" s="256"/>
      <c r="J182" s="256"/>
      <c r="K182" s="256"/>
      <c r="L182" s="256"/>
      <c r="M182" s="9"/>
      <c r="N182" s="9"/>
      <c r="O182" s="9"/>
      <c r="P182" s="9"/>
      <c r="Q182" s="9"/>
      <c r="R182" s="46"/>
      <c r="S182" s="46"/>
      <c r="T182" s="46"/>
      <c r="U182" s="46"/>
      <c r="V182" s="46"/>
      <c r="W182" s="46"/>
      <c r="X182" s="46"/>
      <c r="Y182" s="46"/>
    </row>
    <row r="183" spans="1:25" hidden="1" outlineLevel="1">
      <c r="A183" s="9"/>
      <c r="B183" s="9"/>
      <c r="C183" s="539"/>
      <c r="D183" s="87">
        <v>7</v>
      </c>
      <c r="E183" s="256">
        <f ca="1">OFFSET('Actual RAB roll forward'!H$24,0,D183-1)-SUM('Actual RAB roll forward'!H208:OFFSET('Actual RAB roll forward'!H208,0,Input!$Y$7-1))</f>
        <v>0</v>
      </c>
      <c r="F183" s="256">
        <f>IF(A13stdlife="N/A",0,IF(E183=0,0,A13stdlife+D183-Input!$Y$7))</f>
        <v>0</v>
      </c>
      <c r="G183" s="257"/>
      <c r="H183" s="256"/>
      <c r="I183" s="256"/>
      <c r="J183" s="256"/>
      <c r="K183" s="256"/>
      <c r="L183" s="256"/>
      <c r="M183" s="9"/>
      <c r="N183" s="9"/>
      <c r="O183" s="9"/>
      <c r="P183" s="9"/>
      <c r="Q183" s="9"/>
      <c r="R183" s="46"/>
      <c r="S183" s="46"/>
      <c r="T183" s="46"/>
      <c r="U183" s="46"/>
      <c r="V183" s="46"/>
      <c r="W183" s="46"/>
      <c r="X183" s="46"/>
      <c r="Y183" s="46"/>
    </row>
    <row r="184" spans="1:25" hidden="1" outlineLevel="1">
      <c r="A184" s="9"/>
      <c r="B184" s="9"/>
      <c r="C184" s="539"/>
      <c r="D184" s="87">
        <v>8</v>
      </c>
      <c r="E184" s="256">
        <f ca="1">OFFSET('Actual RAB roll forward'!H$24,0,D184-1)-SUM('Actual RAB roll forward'!H209:OFFSET('Actual RAB roll forward'!H209,0,Input!$Y$7-1))</f>
        <v>0</v>
      </c>
      <c r="F184" s="256">
        <f>IF(A13stdlife="N/A",0,IF(E184=0,0,A13stdlife+D184-Input!$Y$7))</f>
        <v>0</v>
      </c>
      <c r="G184" s="257"/>
      <c r="H184" s="256"/>
      <c r="I184" s="256"/>
      <c r="J184" s="256"/>
      <c r="K184" s="256"/>
      <c r="L184" s="256"/>
      <c r="M184" s="9"/>
      <c r="N184" s="9"/>
      <c r="O184" s="9"/>
      <c r="P184" s="9"/>
      <c r="Q184" s="9"/>
      <c r="R184" s="46"/>
      <c r="S184" s="46"/>
      <c r="T184" s="46"/>
      <c r="U184" s="46"/>
      <c r="V184" s="46"/>
      <c r="W184" s="46"/>
      <c r="X184" s="46"/>
      <c r="Y184" s="46"/>
    </row>
    <row r="185" spans="1:25" hidden="1" outlineLevel="1">
      <c r="A185" s="9"/>
      <c r="B185" s="9"/>
      <c r="C185" s="539"/>
      <c r="D185" s="87">
        <v>9</v>
      </c>
      <c r="E185" s="256">
        <f ca="1">OFFSET('Actual RAB roll forward'!H$24,0,D185-1)-SUM('Actual RAB roll forward'!H210:OFFSET('Actual RAB roll forward'!H210,0,Input!$Y$7-1))</f>
        <v>0</v>
      </c>
      <c r="F185" s="256">
        <f>IF(A13stdlife="N/A",0,IF(E185=0,0,A13stdlife+D185-Input!$Y$7))</f>
        <v>0</v>
      </c>
      <c r="G185" s="257"/>
      <c r="H185" s="256"/>
      <c r="I185" s="256"/>
      <c r="J185" s="256"/>
      <c r="K185" s="256"/>
      <c r="L185" s="256"/>
      <c r="M185" s="9"/>
      <c r="N185" s="9"/>
      <c r="O185" s="9"/>
      <c r="P185" s="9"/>
      <c r="Q185" s="9"/>
      <c r="R185" s="46"/>
      <c r="S185" s="46"/>
      <c r="T185" s="46"/>
      <c r="U185" s="46"/>
      <c r="V185" s="46"/>
      <c r="W185" s="46"/>
      <c r="X185" s="46"/>
      <c r="Y185" s="46"/>
    </row>
    <row r="186" spans="1:25" hidden="1" outlineLevel="1">
      <c r="A186" s="9"/>
      <c r="B186" s="9"/>
      <c r="C186" s="540"/>
      <c r="D186" s="88">
        <v>10</v>
      </c>
      <c r="E186" s="256">
        <f ca="1">OFFSET('Actual RAB roll forward'!H$24,0,D186-1)-SUM('Actual RAB roll forward'!H211:OFFSET('Actual RAB roll forward'!H211,0,Input!$Y$7-1))</f>
        <v>0</v>
      </c>
      <c r="F186" s="256">
        <f>IF(A13stdlife="N/A",0,IF(E186=0,0,A13stdlife+D186-Input!$Y$7))</f>
        <v>0</v>
      </c>
      <c r="G186" s="257"/>
      <c r="H186" s="256"/>
      <c r="I186" s="256"/>
      <c r="J186" s="256"/>
      <c r="K186" s="256"/>
      <c r="L186" s="256"/>
      <c r="M186" s="9"/>
      <c r="N186" s="9"/>
      <c r="O186" s="9"/>
      <c r="P186" s="9"/>
      <c r="Q186" s="9"/>
      <c r="R186" s="46"/>
      <c r="S186" s="46"/>
      <c r="T186" s="46"/>
      <c r="U186" s="46"/>
      <c r="V186" s="46"/>
      <c r="W186" s="46"/>
      <c r="X186" s="46"/>
      <c r="Y186" s="46"/>
    </row>
    <row r="187" spans="1:25" collapsed="1">
      <c r="A187" s="9"/>
      <c r="B187" s="9"/>
      <c r="C187" s="264">
        <f>Asset13</f>
        <v>0</v>
      </c>
      <c r="D187" s="9"/>
      <c r="E187" s="256">
        <f ca="1">SUM(E176:E186)</f>
        <v>0</v>
      </c>
      <c r="F187" s="256"/>
      <c r="G187" s="257"/>
      <c r="H187" s="256"/>
      <c r="I187" s="256"/>
      <c r="J187" s="256"/>
      <c r="K187" s="256"/>
      <c r="L187" s="256"/>
      <c r="M187" s="9"/>
      <c r="N187" s="9"/>
      <c r="O187" s="9"/>
      <c r="P187" s="9"/>
      <c r="Q187" s="9"/>
      <c r="R187" s="46"/>
      <c r="S187" s="46"/>
      <c r="T187" s="46"/>
      <c r="U187" s="46"/>
      <c r="V187" s="46"/>
      <c r="W187" s="46"/>
      <c r="X187" s="46"/>
      <c r="Y187" s="46"/>
    </row>
    <row r="188" spans="1:25" hidden="1" outlineLevel="1">
      <c r="A188" s="9"/>
      <c r="B188" s="9"/>
      <c r="C188" s="264"/>
      <c r="D188" s="9"/>
      <c r="E188" s="256"/>
      <c r="F188" s="256"/>
      <c r="G188" s="257"/>
      <c r="H188" s="256"/>
      <c r="I188" s="256"/>
      <c r="J188" s="256"/>
      <c r="K188" s="256"/>
      <c r="L188" s="256"/>
      <c r="M188" s="9"/>
      <c r="N188" s="9"/>
      <c r="O188" s="9"/>
      <c r="P188" s="9"/>
      <c r="Q188" s="9"/>
      <c r="R188" s="46"/>
      <c r="S188" s="46"/>
      <c r="T188" s="46"/>
      <c r="U188" s="46"/>
      <c r="V188" s="46"/>
      <c r="W188" s="46"/>
      <c r="X188" s="46"/>
      <c r="Y188" s="46"/>
    </row>
    <row r="189" spans="1:25" hidden="1" outlineLevel="1">
      <c r="A189" s="9"/>
      <c r="B189" s="255">
        <f>Asset14</f>
        <v>0</v>
      </c>
      <c r="C189" s="9"/>
      <c r="D189" s="9"/>
      <c r="E189" s="37"/>
      <c r="F189" s="37"/>
      <c r="G189" s="257"/>
      <c r="H189" s="37"/>
      <c r="I189" s="37"/>
      <c r="J189" s="37"/>
      <c r="K189" s="37"/>
      <c r="L189" s="37"/>
      <c r="M189" s="9"/>
      <c r="N189" s="9"/>
      <c r="O189" s="9"/>
      <c r="P189" s="9"/>
      <c r="Q189" s="9"/>
      <c r="R189" s="46"/>
      <c r="S189" s="46"/>
      <c r="T189" s="46"/>
      <c r="U189" s="46"/>
      <c r="V189" s="46"/>
      <c r="W189" s="46"/>
      <c r="X189" s="46"/>
      <c r="Y189" s="46"/>
    </row>
    <row r="190" spans="1:25" ht="12.75" hidden="1" customHeight="1" outlineLevel="1">
      <c r="A190" s="9"/>
      <c r="B190" s="9"/>
      <c r="C190" s="541" t="s">
        <v>28</v>
      </c>
      <c r="D190" s="542"/>
      <c r="E190" s="256">
        <f ca="1">A14value-SUM('Actual RAB roll forward'!H213:OFFSET('Actual RAB roll forward'!H213,0,Input!$Y$7-1))</f>
        <v>0</v>
      </c>
      <c r="F190" s="256">
        <f>IF(A14remlife="N/A",0,A14remlife-Input!$Y$7)</f>
        <v>0</v>
      </c>
      <c r="G190" s="257"/>
      <c r="H190" s="256"/>
      <c r="I190" s="256"/>
      <c r="J190" s="256"/>
      <c r="K190" s="256"/>
      <c r="L190" s="256"/>
      <c r="M190" s="9"/>
      <c r="N190" s="9"/>
      <c r="O190" s="9"/>
      <c r="P190" s="9"/>
      <c r="Q190" s="9"/>
      <c r="R190" s="46"/>
      <c r="S190" s="46"/>
      <c r="T190" s="46"/>
      <c r="U190" s="46"/>
      <c r="V190" s="46"/>
      <c r="W190" s="46"/>
      <c r="X190" s="46"/>
      <c r="Y190" s="46"/>
    </row>
    <row r="191" spans="1:25" ht="12.75" hidden="1" customHeight="1" outlineLevel="1">
      <c r="A191" s="9"/>
      <c r="B191" s="9"/>
      <c r="C191" s="538" t="s">
        <v>86</v>
      </c>
      <c r="D191" s="87">
        <v>1</v>
      </c>
      <c r="E191" s="256">
        <f ca="1">OFFSET('Actual RAB roll forward'!H$25,0,D191-1)-SUM('Actual RAB roll forward'!H215:OFFSET('Actual RAB roll forward'!H215,0,Input!$Y$7-1))</f>
        <v>0</v>
      </c>
      <c r="F191" s="256">
        <f>IF(A14stdlife="N/A",0,IF(E191=0,0,A14stdlife+D191-Input!$Y$7))</f>
        <v>0</v>
      </c>
      <c r="G191" s="257"/>
      <c r="H191" s="256"/>
      <c r="I191" s="256"/>
      <c r="J191" s="256"/>
      <c r="K191" s="256"/>
      <c r="L191" s="256"/>
      <c r="M191" s="9"/>
      <c r="N191" s="9"/>
      <c r="O191" s="9"/>
      <c r="P191" s="9"/>
      <c r="Q191" s="9"/>
      <c r="R191" s="46"/>
      <c r="S191" s="46"/>
      <c r="T191" s="46"/>
      <c r="U191" s="46"/>
      <c r="V191" s="46"/>
      <c r="W191" s="46"/>
      <c r="X191" s="46"/>
      <c r="Y191" s="46"/>
    </row>
    <row r="192" spans="1:25" hidden="1" outlineLevel="1">
      <c r="A192" s="9"/>
      <c r="B192" s="9"/>
      <c r="C192" s="539"/>
      <c r="D192" s="87">
        <v>2</v>
      </c>
      <c r="E192" s="256">
        <f ca="1">OFFSET('Actual RAB roll forward'!H$25,0,D192-1)-SUM('Actual RAB roll forward'!H216:OFFSET('Actual RAB roll forward'!H216,0,Input!$Y$7-1))</f>
        <v>0</v>
      </c>
      <c r="F192" s="256">
        <f>IF(A14stdlife="N/A",0,IF(E192=0,0,A14stdlife+D192-Input!$Y$7))</f>
        <v>0</v>
      </c>
      <c r="G192" s="257"/>
      <c r="H192" s="256"/>
      <c r="I192" s="256"/>
      <c r="J192" s="256"/>
      <c r="K192" s="256"/>
      <c r="L192" s="256"/>
      <c r="M192" s="9"/>
      <c r="N192" s="9"/>
      <c r="O192" s="9"/>
      <c r="P192" s="9"/>
      <c r="Q192" s="9"/>
      <c r="R192" s="46"/>
      <c r="S192" s="46"/>
      <c r="T192" s="46"/>
      <c r="U192" s="46"/>
      <c r="V192" s="46"/>
      <c r="W192" s="46"/>
      <c r="X192" s="46"/>
      <c r="Y192" s="46"/>
    </row>
    <row r="193" spans="1:25" hidden="1" outlineLevel="1">
      <c r="A193" s="9"/>
      <c r="B193" s="9"/>
      <c r="C193" s="539"/>
      <c r="D193" s="87">
        <v>3</v>
      </c>
      <c r="E193" s="256">
        <f ca="1">OFFSET('Actual RAB roll forward'!H$25,0,D193-1)-SUM('Actual RAB roll forward'!H217:OFFSET('Actual RAB roll forward'!H217,0,Input!$Y$7-1))</f>
        <v>0</v>
      </c>
      <c r="F193" s="256">
        <f>IF(A14stdlife="N/A",0,IF(E193=0,0,A14stdlife+D193-Input!$Y$7))</f>
        <v>0</v>
      </c>
      <c r="G193" s="257"/>
      <c r="H193" s="256"/>
      <c r="I193" s="256"/>
      <c r="J193" s="256"/>
      <c r="K193" s="256"/>
      <c r="L193" s="256"/>
      <c r="M193" s="9"/>
      <c r="N193" s="9"/>
      <c r="O193" s="9"/>
      <c r="P193" s="9"/>
      <c r="Q193" s="9"/>
      <c r="R193" s="46"/>
      <c r="S193" s="46"/>
      <c r="T193" s="46"/>
      <c r="U193" s="46"/>
      <c r="V193" s="46"/>
      <c r="W193" s="46"/>
      <c r="X193" s="46"/>
      <c r="Y193" s="46"/>
    </row>
    <row r="194" spans="1:25" hidden="1" outlineLevel="1">
      <c r="A194" s="9"/>
      <c r="B194" s="9"/>
      <c r="C194" s="539"/>
      <c r="D194" s="87">
        <v>4</v>
      </c>
      <c r="E194" s="256">
        <f ca="1">OFFSET('Actual RAB roll forward'!H$25,0,D194-1)-SUM('Actual RAB roll forward'!H218:OFFSET('Actual RAB roll forward'!H218,0,Input!$Y$7-1))</f>
        <v>0</v>
      </c>
      <c r="F194" s="256">
        <f>IF(A14stdlife="N/A",0,IF(E194=0,0,A14stdlife+D194-Input!$Y$7))</f>
        <v>0</v>
      </c>
      <c r="G194" s="257"/>
      <c r="H194" s="256"/>
      <c r="I194" s="256"/>
      <c r="J194" s="256"/>
      <c r="K194" s="256"/>
      <c r="L194" s="256"/>
      <c r="M194" s="9"/>
      <c r="N194" s="9"/>
      <c r="O194" s="9"/>
      <c r="P194" s="9"/>
      <c r="Q194" s="9"/>
      <c r="R194" s="46"/>
      <c r="S194" s="46"/>
      <c r="T194" s="46"/>
      <c r="U194" s="46"/>
      <c r="V194" s="46"/>
      <c r="W194" s="46"/>
      <c r="X194" s="46"/>
      <c r="Y194" s="46"/>
    </row>
    <row r="195" spans="1:25" hidden="1" outlineLevel="1">
      <c r="A195" s="9"/>
      <c r="B195" s="9"/>
      <c r="C195" s="539"/>
      <c r="D195" s="87">
        <v>5</v>
      </c>
      <c r="E195" s="256">
        <f ca="1">OFFSET('Actual RAB roll forward'!H$25,0,D195-1)-SUM('Actual RAB roll forward'!H219:OFFSET('Actual RAB roll forward'!H219,0,Input!$Y$7-1))</f>
        <v>0</v>
      </c>
      <c r="F195" s="256">
        <f>IF(A14stdlife="N/A",0,IF(E195=0,0,A14stdlife+D195-Input!$Y$7))</f>
        <v>0</v>
      </c>
      <c r="G195" s="257"/>
      <c r="H195" s="256"/>
      <c r="I195" s="256"/>
      <c r="J195" s="256"/>
      <c r="K195" s="256"/>
      <c r="L195" s="256"/>
      <c r="M195" s="9"/>
      <c r="N195" s="9"/>
      <c r="O195" s="9"/>
      <c r="P195" s="9"/>
      <c r="Q195" s="9"/>
      <c r="R195" s="46"/>
      <c r="S195" s="46"/>
      <c r="T195" s="46"/>
      <c r="U195" s="46"/>
      <c r="V195" s="46"/>
      <c r="W195" s="46"/>
      <c r="X195" s="46"/>
      <c r="Y195" s="46"/>
    </row>
    <row r="196" spans="1:25" hidden="1" outlineLevel="1">
      <c r="A196" s="9"/>
      <c r="B196" s="9"/>
      <c r="C196" s="539"/>
      <c r="D196" s="87">
        <v>6</v>
      </c>
      <c r="E196" s="256">
        <f ca="1">OFFSET('Actual RAB roll forward'!H$25,0,D196-1)-SUM('Actual RAB roll forward'!H220:OFFSET('Actual RAB roll forward'!H220,0,Input!$Y$7-1))</f>
        <v>0</v>
      </c>
      <c r="F196" s="256">
        <f>IF(A14stdlife="N/A",0,IF(E196=0,0,A14stdlife+D196-Input!$Y$7))</f>
        <v>0</v>
      </c>
      <c r="G196" s="257"/>
      <c r="H196" s="256"/>
      <c r="I196" s="256"/>
      <c r="J196" s="256"/>
      <c r="K196" s="256"/>
      <c r="L196" s="256"/>
      <c r="M196" s="9"/>
      <c r="N196" s="9"/>
      <c r="O196" s="9"/>
      <c r="P196" s="9"/>
      <c r="Q196" s="9"/>
      <c r="R196" s="46"/>
      <c r="S196" s="46"/>
      <c r="T196" s="46"/>
      <c r="U196" s="46"/>
      <c r="V196" s="46"/>
      <c r="W196" s="46"/>
      <c r="X196" s="46"/>
      <c r="Y196" s="46"/>
    </row>
    <row r="197" spans="1:25" hidden="1" outlineLevel="1">
      <c r="A197" s="9"/>
      <c r="B197" s="9"/>
      <c r="C197" s="539"/>
      <c r="D197" s="87">
        <v>7</v>
      </c>
      <c r="E197" s="256">
        <f ca="1">OFFSET('Actual RAB roll forward'!H$25,0,D197-1)-SUM('Actual RAB roll forward'!H221:OFFSET('Actual RAB roll forward'!H221,0,Input!$Y$7-1))</f>
        <v>0</v>
      </c>
      <c r="F197" s="256">
        <f>IF(A14stdlife="N/A",0,IF(E197=0,0,A14stdlife+D197-Input!$Y$7))</f>
        <v>0</v>
      </c>
      <c r="G197" s="257"/>
      <c r="H197" s="256"/>
      <c r="I197" s="256"/>
      <c r="J197" s="256"/>
      <c r="K197" s="256"/>
      <c r="L197" s="256"/>
      <c r="M197" s="9"/>
      <c r="N197" s="9"/>
      <c r="O197" s="9"/>
      <c r="P197" s="9"/>
      <c r="Q197" s="9"/>
      <c r="R197" s="46"/>
      <c r="S197" s="46"/>
      <c r="T197" s="46"/>
      <c r="U197" s="46"/>
      <c r="V197" s="46"/>
      <c r="W197" s="46"/>
      <c r="X197" s="46"/>
      <c r="Y197" s="46"/>
    </row>
    <row r="198" spans="1:25" hidden="1" outlineLevel="1">
      <c r="A198" s="9"/>
      <c r="B198" s="9"/>
      <c r="C198" s="539"/>
      <c r="D198" s="87">
        <v>8</v>
      </c>
      <c r="E198" s="256">
        <f ca="1">OFFSET('Actual RAB roll forward'!H$25,0,D198-1)-SUM('Actual RAB roll forward'!H222:OFFSET('Actual RAB roll forward'!H222,0,Input!$Y$7-1))</f>
        <v>0</v>
      </c>
      <c r="F198" s="256">
        <f>IF(A14stdlife="N/A",0,IF(E198=0,0,A14stdlife+D198-Input!$Y$7))</f>
        <v>0</v>
      </c>
      <c r="G198" s="257"/>
      <c r="H198" s="256"/>
      <c r="I198" s="256"/>
      <c r="J198" s="256"/>
      <c r="K198" s="256"/>
      <c r="L198" s="256"/>
      <c r="M198" s="9"/>
      <c r="N198" s="9"/>
      <c r="O198" s="9"/>
      <c r="P198" s="9"/>
      <c r="Q198" s="9"/>
      <c r="R198" s="46"/>
      <c r="S198" s="46"/>
      <c r="T198" s="46"/>
      <c r="U198" s="46"/>
      <c r="V198" s="46"/>
      <c r="W198" s="46"/>
      <c r="X198" s="46"/>
      <c r="Y198" s="46"/>
    </row>
    <row r="199" spans="1:25" hidden="1" outlineLevel="1">
      <c r="A199" s="9"/>
      <c r="B199" s="9"/>
      <c r="C199" s="539"/>
      <c r="D199" s="87">
        <v>9</v>
      </c>
      <c r="E199" s="256">
        <f ca="1">OFFSET('Actual RAB roll forward'!H$25,0,D199-1)-SUM('Actual RAB roll forward'!H223:OFFSET('Actual RAB roll forward'!H223,0,Input!$Y$7-1))</f>
        <v>0</v>
      </c>
      <c r="F199" s="256">
        <f>IF(A14stdlife="N/A",0,IF(E199=0,0,A14stdlife+D199-Input!$Y$7))</f>
        <v>0</v>
      </c>
      <c r="G199" s="257"/>
      <c r="H199" s="256"/>
      <c r="I199" s="256"/>
      <c r="J199" s="256"/>
      <c r="K199" s="256"/>
      <c r="L199" s="256"/>
      <c r="M199" s="9"/>
      <c r="N199" s="9"/>
      <c r="O199" s="9"/>
      <c r="P199" s="9"/>
      <c r="Q199" s="9"/>
      <c r="R199" s="46"/>
      <c r="S199" s="46"/>
      <c r="T199" s="46"/>
      <c r="U199" s="46"/>
      <c r="V199" s="46"/>
      <c r="W199" s="46"/>
      <c r="X199" s="46"/>
      <c r="Y199" s="46"/>
    </row>
    <row r="200" spans="1:25" hidden="1" outlineLevel="1">
      <c r="A200" s="9"/>
      <c r="B200" s="9"/>
      <c r="C200" s="540"/>
      <c r="D200" s="88">
        <v>10</v>
      </c>
      <c r="E200" s="256">
        <f ca="1">OFFSET('Actual RAB roll forward'!H$25,0,D200-1)-SUM('Actual RAB roll forward'!H224:OFFSET('Actual RAB roll forward'!H224,0,Input!$Y$7-1))</f>
        <v>0</v>
      </c>
      <c r="F200" s="256">
        <f>IF(A14stdlife="N/A",0,IF(E200=0,0,A14stdlife+D200-Input!$Y$7))</f>
        <v>0</v>
      </c>
      <c r="G200" s="257"/>
      <c r="H200" s="256"/>
      <c r="I200" s="256"/>
      <c r="J200" s="256"/>
      <c r="K200" s="256"/>
      <c r="L200" s="256"/>
      <c r="M200" s="9"/>
      <c r="N200" s="9"/>
      <c r="O200" s="9"/>
      <c r="P200" s="9"/>
      <c r="Q200" s="9"/>
      <c r="R200" s="46"/>
      <c r="S200" s="46"/>
      <c r="T200" s="46"/>
      <c r="U200" s="46"/>
      <c r="V200" s="46"/>
      <c r="W200" s="46"/>
      <c r="X200" s="46"/>
      <c r="Y200" s="46"/>
    </row>
    <row r="201" spans="1:25" collapsed="1">
      <c r="A201" s="9"/>
      <c r="B201" s="9"/>
      <c r="C201" s="264">
        <f>Asset14</f>
        <v>0</v>
      </c>
      <c r="D201" s="9"/>
      <c r="E201" s="256">
        <f ca="1">SUM(E190:E200)</f>
        <v>0</v>
      </c>
      <c r="F201" s="256"/>
      <c r="G201" s="257"/>
      <c r="H201" s="256"/>
      <c r="I201" s="256"/>
      <c r="J201" s="256"/>
      <c r="K201" s="256"/>
      <c r="L201" s="256"/>
      <c r="M201" s="9"/>
      <c r="N201" s="9"/>
      <c r="O201" s="9"/>
      <c r="P201" s="9"/>
      <c r="Q201" s="9"/>
      <c r="R201" s="46"/>
      <c r="S201" s="46"/>
      <c r="T201" s="46"/>
      <c r="U201" s="46"/>
      <c r="V201" s="46"/>
      <c r="W201" s="46"/>
      <c r="X201" s="46"/>
      <c r="Y201" s="46"/>
    </row>
    <row r="202" spans="1:25" hidden="1" outlineLevel="1">
      <c r="A202" s="9"/>
      <c r="B202" s="9"/>
      <c r="C202" s="264"/>
      <c r="D202" s="9"/>
      <c r="E202" s="256"/>
      <c r="F202" s="256"/>
      <c r="G202" s="257"/>
      <c r="H202" s="256"/>
      <c r="I202" s="256"/>
      <c r="J202" s="256"/>
      <c r="K202" s="256"/>
      <c r="L202" s="256"/>
      <c r="M202" s="9"/>
      <c r="N202" s="9"/>
      <c r="O202" s="9"/>
      <c r="P202" s="9"/>
      <c r="Q202" s="9"/>
      <c r="R202" s="46"/>
      <c r="S202" s="46"/>
      <c r="T202" s="46"/>
      <c r="U202" s="46"/>
      <c r="V202" s="46"/>
      <c r="W202" s="46"/>
      <c r="X202" s="46"/>
      <c r="Y202" s="46"/>
    </row>
    <row r="203" spans="1:25" hidden="1" outlineLevel="1">
      <c r="A203" s="9"/>
      <c r="B203" s="255">
        <f>Asset15</f>
        <v>0</v>
      </c>
      <c r="C203" s="9"/>
      <c r="D203" s="9"/>
      <c r="E203" s="37"/>
      <c r="F203" s="37"/>
      <c r="G203" s="257"/>
      <c r="H203" s="37"/>
      <c r="I203" s="37"/>
      <c r="J203" s="37"/>
      <c r="K203" s="37"/>
      <c r="L203" s="37"/>
      <c r="M203" s="9"/>
      <c r="N203" s="9"/>
      <c r="O203" s="9"/>
      <c r="P203" s="9"/>
      <c r="Q203" s="9"/>
      <c r="R203" s="46"/>
      <c r="S203" s="46"/>
      <c r="T203" s="46"/>
      <c r="U203" s="46"/>
      <c r="V203" s="46"/>
      <c r="W203" s="46"/>
      <c r="X203" s="46"/>
      <c r="Y203" s="46"/>
    </row>
    <row r="204" spans="1:25" ht="12.75" hidden="1" customHeight="1" outlineLevel="1">
      <c r="A204" s="9"/>
      <c r="B204" s="9"/>
      <c r="C204" s="541" t="s">
        <v>28</v>
      </c>
      <c r="D204" s="542"/>
      <c r="E204" s="256">
        <f ca="1">A15value-SUM('Actual RAB roll forward'!H226:OFFSET('Actual RAB roll forward'!H226,0,Input!$Y$7-1))</f>
        <v>0</v>
      </c>
      <c r="F204" s="256">
        <f>IF(A15remlife="N/A",0,A15remlife-Input!$Y$7)</f>
        <v>0</v>
      </c>
      <c r="G204" s="257"/>
      <c r="H204" s="256"/>
      <c r="I204" s="256"/>
      <c r="J204" s="256"/>
      <c r="K204" s="256"/>
      <c r="L204" s="256"/>
      <c r="M204" s="9"/>
      <c r="N204" s="9"/>
      <c r="O204" s="9"/>
      <c r="P204" s="9"/>
      <c r="Q204" s="9"/>
      <c r="R204" s="46"/>
      <c r="S204" s="46"/>
      <c r="T204" s="46"/>
      <c r="U204" s="46"/>
      <c r="V204" s="46"/>
      <c r="W204" s="46"/>
      <c r="X204" s="46"/>
      <c r="Y204" s="46"/>
    </row>
    <row r="205" spans="1:25" ht="12.75" hidden="1" customHeight="1" outlineLevel="1">
      <c r="A205" s="9"/>
      <c r="B205" s="9"/>
      <c r="C205" s="538" t="s">
        <v>86</v>
      </c>
      <c r="D205" s="87">
        <v>1</v>
      </c>
      <c r="E205" s="256">
        <f ca="1">OFFSET('Actual RAB roll forward'!H$26,0,D205-1)-SUM('Actual RAB roll forward'!H228:OFFSET('Actual RAB roll forward'!H228,0,Input!$Y$7-1))</f>
        <v>0</v>
      </c>
      <c r="F205" s="256">
        <f>IF(A15stdlife="N/A",0,IF(E205=0,0,A15stdlife+D205-Input!$Y$7))</f>
        <v>0</v>
      </c>
      <c r="G205" s="257"/>
      <c r="H205" s="256"/>
      <c r="I205" s="256"/>
      <c r="J205" s="256"/>
      <c r="K205" s="256"/>
      <c r="L205" s="256"/>
      <c r="M205" s="9"/>
      <c r="N205" s="9"/>
      <c r="O205" s="9"/>
      <c r="P205" s="9"/>
      <c r="Q205" s="9"/>
      <c r="R205" s="46"/>
      <c r="S205" s="46"/>
      <c r="T205" s="46"/>
      <c r="U205" s="46"/>
      <c r="V205" s="46"/>
      <c r="W205" s="46"/>
      <c r="X205" s="46"/>
      <c r="Y205" s="46"/>
    </row>
    <row r="206" spans="1:25" hidden="1" outlineLevel="1">
      <c r="A206" s="9"/>
      <c r="B206" s="9"/>
      <c r="C206" s="539"/>
      <c r="D206" s="87">
        <v>2</v>
      </c>
      <c r="E206" s="256">
        <f ca="1">OFFSET('Actual RAB roll forward'!H$26,0,D206-1)-SUM('Actual RAB roll forward'!H229:OFFSET('Actual RAB roll forward'!H229,0,Input!$Y$7-1))</f>
        <v>0</v>
      </c>
      <c r="F206" s="256">
        <f>IF(A15stdlife="N/A",0,IF(E206=0,0,A15stdlife+D206-Input!$Y$7))</f>
        <v>0</v>
      </c>
      <c r="G206" s="257"/>
      <c r="H206" s="256"/>
      <c r="I206" s="256"/>
      <c r="J206" s="256"/>
      <c r="K206" s="256"/>
      <c r="L206" s="256"/>
      <c r="M206" s="9"/>
      <c r="N206" s="9"/>
      <c r="O206" s="9"/>
      <c r="P206" s="9"/>
      <c r="Q206" s="9"/>
      <c r="R206" s="46"/>
      <c r="S206" s="46"/>
      <c r="T206" s="46"/>
      <c r="U206" s="46"/>
      <c r="V206" s="46"/>
      <c r="W206" s="46"/>
      <c r="X206" s="46"/>
      <c r="Y206" s="46"/>
    </row>
    <row r="207" spans="1:25" hidden="1" outlineLevel="1">
      <c r="A207" s="9"/>
      <c r="B207" s="9"/>
      <c r="C207" s="539"/>
      <c r="D207" s="87">
        <v>3</v>
      </c>
      <c r="E207" s="256">
        <f ca="1">OFFSET('Actual RAB roll forward'!H$26,0,D207-1)-SUM('Actual RAB roll forward'!H230:OFFSET('Actual RAB roll forward'!H230,0,Input!$Y$7-1))</f>
        <v>0</v>
      </c>
      <c r="F207" s="256">
        <f>IF(A15stdlife="N/A",0,IF(E207=0,0,A15stdlife+D207-Input!$Y$7))</f>
        <v>0</v>
      </c>
      <c r="G207" s="257"/>
      <c r="H207" s="256"/>
      <c r="I207" s="256"/>
      <c r="J207" s="256"/>
      <c r="K207" s="256"/>
      <c r="L207" s="256"/>
      <c r="M207" s="9"/>
      <c r="N207" s="9"/>
      <c r="O207" s="9"/>
      <c r="P207" s="9"/>
      <c r="Q207" s="9"/>
      <c r="R207" s="46"/>
      <c r="S207" s="46"/>
      <c r="T207" s="46"/>
      <c r="U207" s="46"/>
      <c r="V207" s="46"/>
      <c r="W207" s="46"/>
      <c r="X207" s="46"/>
      <c r="Y207" s="46"/>
    </row>
    <row r="208" spans="1:25" hidden="1" outlineLevel="1">
      <c r="A208" s="9"/>
      <c r="B208" s="9"/>
      <c r="C208" s="539"/>
      <c r="D208" s="87">
        <v>4</v>
      </c>
      <c r="E208" s="256">
        <f ca="1">OFFSET('Actual RAB roll forward'!H$26,0,D208-1)-SUM('Actual RAB roll forward'!H231:OFFSET('Actual RAB roll forward'!H231,0,Input!$Y$7-1))</f>
        <v>0</v>
      </c>
      <c r="F208" s="256">
        <f>IF(A15stdlife="N/A",0,IF(E208=0,0,A15stdlife+D208-Input!$Y$7))</f>
        <v>0</v>
      </c>
      <c r="G208" s="257"/>
      <c r="H208" s="256"/>
      <c r="I208" s="256"/>
      <c r="J208" s="256"/>
      <c r="K208" s="256"/>
      <c r="L208" s="256"/>
      <c r="M208" s="9"/>
      <c r="N208" s="9"/>
      <c r="O208" s="9"/>
      <c r="P208" s="9"/>
      <c r="Q208" s="9"/>
      <c r="R208" s="46"/>
      <c r="S208" s="46"/>
      <c r="T208" s="46"/>
      <c r="U208" s="46"/>
      <c r="V208" s="46"/>
      <c r="W208" s="46"/>
      <c r="X208" s="46"/>
      <c r="Y208" s="46"/>
    </row>
    <row r="209" spans="1:25" hidden="1" outlineLevel="1">
      <c r="A209" s="9"/>
      <c r="B209" s="9"/>
      <c r="C209" s="539"/>
      <c r="D209" s="87">
        <v>5</v>
      </c>
      <c r="E209" s="256">
        <f ca="1">OFFSET('Actual RAB roll forward'!H$26,0,D209-1)-SUM('Actual RAB roll forward'!H232:OFFSET('Actual RAB roll forward'!H232,0,Input!$Y$7-1))</f>
        <v>0</v>
      </c>
      <c r="F209" s="256">
        <f>IF(A15stdlife="N/A",0,IF(E209=0,0,A15stdlife+D209-Input!$Y$7))</f>
        <v>0</v>
      </c>
      <c r="G209" s="257"/>
      <c r="H209" s="256"/>
      <c r="I209" s="256"/>
      <c r="J209" s="256"/>
      <c r="K209" s="256"/>
      <c r="L209" s="256"/>
      <c r="M209" s="9"/>
      <c r="N209" s="9"/>
      <c r="O209" s="9"/>
      <c r="P209" s="9"/>
      <c r="Q209" s="9"/>
      <c r="R209" s="46"/>
      <c r="S209" s="46"/>
      <c r="T209" s="46"/>
      <c r="U209" s="46"/>
      <c r="V209" s="46"/>
      <c r="W209" s="46"/>
      <c r="X209" s="46"/>
      <c r="Y209" s="46"/>
    </row>
    <row r="210" spans="1:25" hidden="1" outlineLevel="1">
      <c r="A210" s="9"/>
      <c r="B210" s="9"/>
      <c r="C210" s="539"/>
      <c r="D210" s="87">
        <v>6</v>
      </c>
      <c r="E210" s="256">
        <f ca="1">OFFSET('Actual RAB roll forward'!H$26,0,D210-1)-SUM('Actual RAB roll forward'!H233:OFFSET('Actual RAB roll forward'!H233,0,Input!$Y$7-1))</f>
        <v>0</v>
      </c>
      <c r="F210" s="256">
        <f>IF(A15stdlife="N/A",0,IF(E210=0,0,A15stdlife+D210-Input!$Y$7))</f>
        <v>0</v>
      </c>
      <c r="G210" s="257"/>
      <c r="H210" s="256"/>
      <c r="I210" s="256"/>
      <c r="J210" s="256"/>
      <c r="K210" s="256"/>
      <c r="L210" s="256"/>
      <c r="M210" s="9"/>
      <c r="N210" s="9"/>
      <c r="O210" s="9"/>
      <c r="P210" s="9"/>
      <c r="Q210" s="9"/>
      <c r="R210" s="46"/>
      <c r="S210" s="46"/>
      <c r="T210" s="46"/>
      <c r="U210" s="46"/>
      <c r="V210" s="46"/>
      <c r="W210" s="46"/>
      <c r="X210" s="46"/>
      <c r="Y210" s="46"/>
    </row>
    <row r="211" spans="1:25" hidden="1" outlineLevel="1">
      <c r="A211" s="9"/>
      <c r="B211" s="9"/>
      <c r="C211" s="539"/>
      <c r="D211" s="87">
        <v>7</v>
      </c>
      <c r="E211" s="256">
        <f ca="1">OFFSET('Actual RAB roll forward'!H$26,0,D211-1)-SUM('Actual RAB roll forward'!H234:OFFSET('Actual RAB roll forward'!H234,0,Input!$Y$7-1))</f>
        <v>0</v>
      </c>
      <c r="F211" s="256">
        <f>IF(A15stdlife="N/A",0,IF(E211=0,0,A15stdlife+D211-Input!$Y$7))</f>
        <v>0</v>
      </c>
      <c r="G211" s="257"/>
      <c r="H211" s="256"/>
      <c r="I211" s="256"/>
      <c r="J211" s="256"/>
      <c r="K211" s="256"/>
      <c r="L211" s="256"/>
      <c r="M211" s="9"/>
      <c r="N211" s="9"/>
      <c r="O211" s="9"/>
      <c r="P211" s="9"/>
      <c r="Q211" s="9"/>
      <c r="R211" s="46"/>
      <c r="S211" s="46"/>
      <c r="T211" s="46"/>
      <c r="U211" s="46"/>
      <c r="V211" s="46"/>
      <c r="W211" s="46"/>
      <c r="X211" s="46"/>
      <c r="Y211" s="46"/>
    </row>
    <row r="212" spans="1:25" hidden="1" outlineLevel="1">
      <c r="A212" s="9"/>
      <c r="B212" s="9"/>
      <c r="C212" s="539"/>
      <c r="D212" s="87">
        <v>8</v>
      </c>
      <c r="E212" s="256">
        <f ca="1">OFFSET('Actual RAB roll forward'!H$26,0,D212-1)-SUM('Actual RAB roll forward'!H235:OFFSET('Actual RAB roll forward'!H235,0,Input!$Y$7-1))</f>
        <v>0</v>
      </c>
      <c r="F212" s="256">
        <f>IF(A15stdlife="N/A",0,IF(E212=0,0,A15stdlife+D212-Input!$Y$7))</f>
        <v>0</v>
      </c>
      <c r="G212" s="257"/>
      <c r="H212" s="256"/>
      <c r="I212" s="256"/>
      <c r="J212" s="256"/>
      <c r="K212" s="256"/>
      <c r="L212" s="256"/>
      <c r="M212" s="9"/>
      <c r="N212" s="9"/>
      <c r="O212" s="9"/>
      <c r="P212" s="9"/>
      <c r="Q212" s="9"/>
      <c r="R212" s="46"/>
      <c r="S212" s="46"/>
      <c r="T212" s="46"/>
      <c r="U212" s="46"/>
      <c r="V212" s="46"/>
      <c r="W212" s="46"/>
      <c r="X212" s="46"/>
      <c r="Y212" s="46"/>
    </row>
    <row r="213" spans="1:25" hidden="1" outlineLevel="1">
      <c r="A213" s="9"/>
      <c r="B213" s="9"/>
      <c r="C213" s="539"/>
      <c r="D213" s="87">
        <v>9</v>
      </c>
      <c r="E213" s="256">
        <f ca="1">OFFSET('Actual RAB roll forward'!H$26,0,D213-1)-SUM('Actual RAB roll forward'!H236:OFFSET('Actual RAB roll forward'!H236,0,Input!$Y$7-1))</f>
        <v>0</v>
      </c>
      <c r="F213" s="256">
        <f>IF(A15stdlife="N/A",0,IF(E213=0,0,A15stdlife+D213-Input!$Y$7))</f>
        <v>0</v>
      </c>
      <c r="G213" s="257"/>
      <c r="H213" s="256"/>
      <c r="I213" s="256"/>
      <c r="J213" s="256"/>
      <c r="K213" s="256"/>
      <c r="L213" s="256"/>
      <c r="M213" s="9"/>
      <c r="N213" s="9"/>
      <c r="O213" s="9"/>
      <c r="P213" s="9"/>
      <c r="Q213" s="9"/>
      <c r="R213" s="46"/>
      <c r="S213" s="46"/>
      <c r="T213" s="46"/>
      <c r="U213" s="46"/>
      <c r="V213" s="46"/>
      <c r="W213" s="46"/>
      <c r="X213" s="46"/>
      <c r="Y213" s="46"/>
    </row>
    <row r="214" spans="1:25" hidden="1" outlineLevel="1">
      <c r="A214" s="9"/>
      <c r="B214" s="9"/>
      <c r="C214" s="540"/>
      <c r="D214" s="88">
        <v>10</v>
      </c>
      <c r="E214" s="256">
        <f ca="1">OFFSET('Actual RAB roll forward'!H$26,0,D214-1)-SUM('Actual RAB roll forward'!H237:OFFSET('Actual RAB roll forward'!H237,0,Input!$Y$7-1))</f>
        <v>0</v>
      </c>
      <c r="F214" s="256">
        <f>IF(A15stdlife="N/A",0,IF(E214=0,0,A15stdlife+D214-Input!$Y$7))</f>
        <v>0</v>
      </c>
      <c r="G214" s="257"/>
      <c r="H214" s="256"/>
      <c r="I214" s="256"/>
      <c r="J214" s="256"/>
      <c r="K214" s="256"/>
      <c r="L214" s="256"/>
      <c r="M214" s="9"/>
      <c r="N214" s="9"/>
      <c r="O214" s="9"/>
      <c r="P214" s="9"/>
      <c r="Q214" s="9"/>
      <c r="R214" s="46"/>
      <c r="S214" s="46"/>
      <c r="T214" s="46"/>
      <c r="U214" s="46"/>
      <c r="V214" s="46"/>
      <c r="W214" s="46"/>
      <c r="X214" s="46"/>
      <c r="Y214" s="46"/>
    </row>
    <row r="215" spans="1:25" collapsed="1">
      <c r="A215" s="9"/>
      <c r="B215" s="9"/>
      <c r="C215" s="264">
        <f>Asset15</f>
        <v>0</v>
      </c>
      <c r="D215" s="9"/>
      <c r="E215" s="256">
        <f ca="1">SUM(E204:E214)</f>
        <v>0</v>
      </c>
      <c r="F215" s="256"/>
      <c r="G215" s="257"/>
      <c r="H215" s="256"/>
      <c r="I215" s="256"/>
      <c r="J215" s="256"/>
      <c r="K215" s="256"/>
      <c r="L215" s="256"/>
      <c r="M215" s="9"/>
      <c r="N215" s="9"/>
      <c r="O215" s="9"/>
      <c r="P215" s="9"/>
      <c r="Q215" s="9"/>
      <c r="R215" s="46"/>
      <c r="S215" s="46"/>
      <c r="T215" s="46"/>
      <c r="U215" s="46"/>
      <c r="V215" s="46"/>
      <c r="W215" s="46"/>
      <c r="X215" s="46"/>
      <c r="Y215" s="46"/>
    </row>
    <row r="216" spans="1:25" hidden="1" outlineLevel="1">
      <c r="A216" s="9"/>
      <c r="B216" s="9"/>
      <c r="C216" s="264"/>
      <c r="D216" s="9"/>
      <c r="E216" s="256"/>
      <c r="F216" s="256"/>
      <c r="G216" s="257"/>
      <c r="H216" s="256"/>
      <c r="I216" s="256"/>
      <c r="J216" s="256"/>
      <c r="K216" s="256"/>
      <c r="L216" s="256"/>
      <c r="M216" s="9"/>
      <c r="N216" s="9"/>
      <c r="O216" s="9"/>
      <c r="P216" s="9"/>
      <c r="Q216" s="9"/>
      <c r="R216" s="46"/>
      <c r="S216" s="46"/>
      <c r="T216" s="46"/>
      <c r="U216" s="46"/>
      <c r="V216" s="46"/>
      <c r="W216" s="46"/>
      <c r="X216" s="46"/>
      <c r="Y216" s="46"/>
    </row>
    <row r="217" spans="1:25" hidden="1" outlineLevel="1">
      <c r="A217" s="9"/>
      <c r="B217" s="255">
        <f>Asset16</f>
        <v>0</v>
      </c>
      <c r="C217" s="9"/>
      <c r="D217" s="9"/>
      <c r="E217" s="37"/>
      <c r="F217" s="37"/>
      <c r="G217" s="257"/>
      <c r="H217" s="37"/>
      <c r="I217" s="37"/>
      <c r="J217" s="37"/>
      <c r="K217" s="37"/>
      <c r="L217" s="37"/>
      <c r="M217" s="9"/>
      <c r="N217" s="9"/>
      <c r="O217" s="9"/>
      <c r="P217" s="9"/>
      <c r="Q217" s="9"/>
      <c r="R217" s="46"/>
      <c r="S217" s="46"/>
      <c r="T217" s="46"/>
      <c r="U217" s="46"/>
      <c r="V217" s="46"/>
      <c r="W217" s="46"/>
      <c r="X217" s="46"/>
      <c r="Y217" s="46"/>
    </row>
    <row r="218" spans="1:25" ht="12.75" hidden="1" customHeight="1" outlineLevel="1">
      <c r="A218" s="9"/>
      <c r="B218" s="37"/>
      <c r="C218" s="541" t="s">
        <v>28</v>
      </c>
      <c r="D218" s="542"/>
      <c r="E218" s="256">
        <f ca="1">A16value-SUM('Actual RAB roll forward'!H239:OFFSET('Actual RAB roll forward'!H239,0,Input!$Y$7-1))</f>
        <v>0</v>
      </c>
      <c r="F218" s="256">
        <f>IF(A16remlife="N/A",0,A16remlife-Input!$Y$7)</f>
        <v>0</v>
      </c>
      <c r="G218" s="257"/>
      <c r="H218" s="256"/>
      <c r="I218" s="256"/>
      <c r="J218" s="256"/>
      <c r="K218" s="256"/>
      <c r="L218" s="256"/>
      <c r="M218" s="9"/>
      <c r="N218" s="9"/>
      <c r="O218" s="9"/>
      <c r="P218" s="9"/>
      <c r="Q218" s="9"/>
      <c r="R218" s="46"/>
      <c r="S218" s="46"/>
      <c r="T218" s="46"/>
      <c r="U218" s="46"/>
      <c r="V218" s="46"/>
      <c r="W218" s="46"/>
      <c r="X218" s="46"/>
      <c r="Y218" s="46"/>
    </row>
    <row r="219" spans="1:25" ht="12.75" hidden="1" customHeight="1" outlineLevel="1">
      <c r="A219" s="9"/>
      <c r="B219" s="9"/>
      <c r="C219" s="538" t="s">
        <v>86</v>
      </c>
      <c r="D219" s="87">
        <v>1</v>
      </c>
      <c r="E219" s="256">
        <f ca="1">OFFSET('Actual RAB roll forward'!H$27,0,D219-1)-SUM('Actual RAB roll forward'!H241:OFFSET('Actual RAB roll forward'!H241,0,Input!$Y$7-1))</f>
        <v>0</v>
      </c>
      <c r="F219" s="256">
        <f>IF(A16stdlife="N/A",0,IF(E219=0,0,A16stdlife+D219-Input!$Y$7))</f>
        <v>0</v>
      </c>
      <c r="G219" s="257"/>
      <c r="H219" s="256"/>
      <c r="I219" s="256"/>
      <c r="J219" s="256"/>
      <c r="K219" s="256"/>
      <c r="L219" s="256"/>
      <c r="M219" s="9"/>
      <c r="N219" s="9"/>
      <c r="O219" s="9"/>
      <c r="P219" s="9"/>
      <c r="Q219" s="9"/>
      <c r="R219" s="46"/>
      <c r="S219" s="46"/>
      <c r="T219" s="46"/>
      <c r="U219" s="46"/>
      <c r="V219" s="46"/>
      <c r="W219" s="46"/>
      <c r="X219" s="46"/>
      <c r="Y219" s="46"/>
    </row>
    <row r="220" spans="1:25" hidden="1" outlineLevel="1">
      <c r="A220" s="9"/>
      <c r="B220" s="9"/>
      <c r="C220" s="539"/>
      <c r="D220" s="87">
        <v>2</v>
      </c>
      <c r="E220" s="256">
        <f ca="1">OFFSET('Actual RAB roll forward'!H$27,0,D220-1)-SUM('Actual RAB roll forward'!H242:OFFSET('Actual RAB roll forward'!H242,0,Input!$Y$7-1))</f>
        <v>0</v>
      </c>
      <c r="F220" s="256">
        <f>IF(A16stdlife="N/A",0,IF(E220=0,0,A16stdlife+D220-Input!$Y$7))</f>
        <v>0</v>
      </c>
      <c r="G220" s="257"/>
      <c r="H220" s="256"/>
      <c r="I220" s="256"/>
      <c r="J220" s="256"/>
      <c r="K220" s="256"/>
      <c r="L220" s="256"/>
      <c r="M220" s="9"/>
      <c r="N220" s="9"/>
      <c r="O220" s="9"/>
      <c r="P220" s="9"/>
      <c r="Q220" s="9"/>
      <c r="R220" s="46"/>
      <c r="S220" s="46"/>
      <c r="T220" s="46"/>
      <c r="U220" s="46"/>
      <c r="V220" s="46"/>
      <c r="W220" s="46"/>
      <c r="X220" s="46"/>
      <c r="Y220" s="46"/>
    </row>
    <row r="221" spans="1:25" hidden="1" outlineLevel="1">
      <c r="A221" s="9"/>
      <c r="B221" s="9"/>
      <c r="C221" s="539"/>
      <c r="D221" s="87">
        <v>3</v>
      </c>
      <c r="E221" s="256">
        <f ca="1">OFFSET('Actual RAB roll forward'!H$27,0,D221-1)-SUM('Actual RAB roll forward'!H243:OFFSET('Actual RAB roll forward'!H243,0,Input!$Y$7-1))</f>
        <v>0</v>
      </c>
      <c r="F221" s="256">
        <f>IF(A16stdlife="N/A",0,IF(E221=0,0,A16stdlife+D221-Input!$Y$7))</f>
        <v>0</v>
      </c>
      <c r="G221" s="257"/>
      <c r="H221" s="256"/>
      <c r="I221" s="256"/>
      <c r="J221" s="256"/>
      <c r="K221" s="256"/>
      <c r="L221" s="256"/>
      <c r="M221" s="9"/>
      <c r="N221" s="9"/>
      <c r="O221" s="9"/>
      <c r="P221" s="9"/>
      <c r="Q221" s="9"/>
      <c r="R221" s="46"/>
      <c r="S221" s="46"/>
      <c r="T221" s="46"/>
      <c r="U221" s="46"/>
      <c r="V221" s="46"/>
      <c r="W221" s="46"/>
      <c r="X221" s="46"/>
      <c r="Y221" s="46"/>
    </row>
    <row r="222" spans="1:25" hidden="1" outlineLevel="1">
      <c r="A222" s="9"/>
      <c r="B222" s="9"/>
      <c r="C222" s="539"/>
      <c r="D222" s="87">
        <v>4</v>
      </c>
      <c r="E222" s="256">
        <f ca="1">OFFSET('Actual RAB roll forward'!H$27,0,D222-1)-SUM('Actual RAB roll forward'!H244:OFFSET('Actual RAB roll forward'!H244,0,Input!$Y$7-1))</f>
        <v>0</v>
      </c>
      <c r="F222" s="256">
        <f>IF(A16stdlife="N/A",0,IF(E222=0,0,A16stdlife+D222-Input!$Y$7))</f>
        <v>0</v>
      </c>
      <c r="G222" s="257"/>
      <c r="H222" s="256"/>
      <c r="I222" s="256"/>
      <c r="J222" s="256"/>
      <c r="K222" s="256"/>
      <c r="L222" s="256"/>
      <c r="M222" s="9"/>
      <c r="N222" s="9"/>
      <c r="O222" s="9"/>
      <c r="P222" s="9"/>
      <c r="Q222" s="9"/>
      <c r="R222" s="46"/>
      <c r="S222" s="46"/>
      <c r="T222" s="46"/>
      <c r="U222" s="46"/>
      <c r="V222" s="46"/>
      <c r="W222" s="46"/>
      <c r="X222" s="46"/>
      <c r="Y222" s="46"/>
    </row>
    <row r="223" spans="1:25" hidden="1" outlineLevel="1">
      <c r="A223" s="9"/>
      <c r="B223" s="9"/>
      <c r="C223" s="539"/>
      <c r="D223" s="87">
        <v>5</v>
      </c>
      <c r="E223" s="256">
        <f ca="1">OFFSET('Actual RAB roll forward'!H$27,0,D223-1)-SUM('Actual RAB roll forward'!H245:OFFSET('Actual RAB roll forward'!H245,0,Input!$Y$7-1))</f>
        <v>0</v>
      </c>
      <c r="F223" s="256">
        <f>IF(A16stdlife="N/A",0,IF(E223=0,0,A16stdlife+D223-Input!$Y$7))</f>
        <v>0</v>
      </c>
      <c r="G223" s="257"/>
      <c r="H223" s="256"/>
      <c r="I223" s="256"/>
      <c r="J223" s="256"/>
      <c r="K223" s="256"/>
      <c r="L223" s="256"/>
      <c r="M223" s="9"/>
      <c r="N223" s="9"/>
      <c r="O223" s="9"/>
      <c r="P223" s="9"/>
      <c r="Q223" s="9"/>
      <c r="R223" s="46"/>
      <c r="S223" s="46"/>
      <c r="T223" s="46"/>
      <c r="U223" s="46"/>
      <c r="V223" s="46"/>
      <c r="W223" s="46"/>
      <c r="X223" s="46"/>
      <c r="Y223" s="46"/>
    </row>
    <row r="224" spans="1:25" hidden="1" outlineLevel="1">
      <c r="A224" s="9"/>
      <c r="B224" s="9"/>
      <c r="C224" s="539"/>
      <c r="D224" s="87">
        <v>6</v>
      </c>
      <c r="E224" s="256">
        <f ca="1">OFFSET('Actual RAB roll forward'!H$27,0,D224-1)-SUM('Actual RAB roll forward'!H246:OFFSET('Actual RAB roll forward'!H246,0,Input!$Y$7-1))</f>
        <v>0</v>
      </c>
      <c r="F224" s="256">
        <f>IF(A16stdlife="N/A",0,IF(E224=0,0,A16stdlife+D224-Input!$Y$7))</f>
        <v>0</v>
      </c>
      <c r="G224" s="257"/>
      <c r="H224" s="256"/>
      <c r="I224" s="256"/>
      <c r="J224" s="256"/>
      <c r="K224" s="256"/>
      <c r="L224" s="256"/>
      <c r="M224" s="9"/>
      <c r="N224" s="9"/>
      <c r="O224" s="9"/>
      <c r="P224" s="9"/>
      <c r="Q224" s="9"/>
      <c r="R224" s="46"/>
      <c r="S224" s="46"/>
      <c r="T224" s="46"/>
      <c r="U224" s="46"/>
      <c r="V224" s="46"/>
      <c r="W224" s="46"/>
      <c r="X224" s="46"/>
      <c r="Y224" s="46"/>
    </row>
    <row r="225" spans="1:25" hidden="1" outlineLevel="1">
      <c r="A225" s="9"/>
      <c r="B225" s="9"/>
      <c r="C225" s="539"/>
      <c r="D225" s="87">
        <v>7</v>
      </c>
      <c r="E225" s="256">
        <f ca="1">OFFSET('Actual RAB roll forward'!H$27,0,D225-1)-SUM('Actual RAB roll forward'!H247:OFFSET('Actual RAB roll forward'!H247,0,Input!$Y$7-1))</f>
        <v>0</v>
      </c>
      <c r="F225" s="256">
        <f>IF(A16stdlife="N/A",0,IF(E225=0,0,A16stdlife+D225-Input!$Y$7))</f>
        <v>0</v>
      </c>
      <c r="G225" s="257"/>
      <c r="H225" s="256"/>
      <c r="I225" s="256"/>
      <c r="J225" s="256"/>
      <c r="K225" s="256"/>
      <c r="L225" s="256"/>
      <c r="M225" s="9"/>
      <c r="N225" s="9"/>
      <c r="O225" s="9"/>
      <c r="P225" s="9"/>
      <c r="Q225" s="9"/>
      <c r="R225" s="46"/>
      <c r="S225" s="46"/>
      <c r="T225" s="46"/>
      <c r="U225" s="46"/>
      <c r="V225" s="46"/>
      <c r="W225" s="46"/>
      <c r="X225" s="46"/>
      <c r="Y225" s="46"/>
    </row>
    <row r="226" spans="1:25" hidden="1" outlineLevel="1">
      <c r="A226" s="9"/>
      <c r="B226" s="9"/>
      <c r="C226" s="539"/>
      <c r="D226" s="87">
        <v>8</v>
      </c>
      <c r="E226" s="256">
        <f ca="1">OFFSET('Actual RAB roll forward'!H$27,0,D226-1)-SUM('Actual RAB roll forward'!H248:OFFSET('Actual RAB roll forward'!H248,0,Input!$Y$7-1))</f>
        <v>0</v>
      </c>
      <c r="F226" s="256">
        <f>IF(A16stdlife="N/A",0,IF(E226=0,0,A16stdlife+D226-Input!$Y$7))</f>
        <v>0</v>
      </c>
      <c r="G226" s="257"/>
      <c r="H226" s="256"/>
      <c r="I226" s="256"/>
      <c r="J226" s="256"/>
      <c r="K226" s="256"/>
      <c r="L226" s="256"/>
      <c r="M226" s="9"/>
      <c r="N226" s="9"/>
      <c r="O226" s="9"/>
      <c r="P226" s="9"/>
      <c r="Q226" s="9"/>
      <c r="R226" s="46"/>
      <c r="S226" s="46"/>
      <c r="T226" s="46"/>
      <c r="U226" s="46"/>
      <c r="V226" s="46"/>
      <c r="W226" s="46"/>
      <c r="X226" s="46"/>
      <c r="Y226" s="46"/>
    </row>
    <row r="227" spans="1:25" hidden="1" outlineLevel="1">
      <c r="A227" s="9"/>
      <c r="B227" s="9"/>
      <c r="C227" s="539"/>
      <c r="D227" s="87">
        <v>9</v>
      </c>
      <c r="E227" s="256">
        <f ca="1">OFFSET('Actual RAB roll forward'!H$27,0,D227-1)-SUM('Actual RAB roll forward'!H249:OFFSET('Actual RAB roll forward'!H249,0,Input!$Y$7-1))</f>
        <v>0</v>
      </c>
      <c r="F227" s="256">
        <f>IF(A16stdlife="N/A",0,IF(E227=0,0,A16stdlife+D227-Input!$Y$7))</f>
        <v>0</v>
      </c>
      <c r="G227" s="257"/>
      <c r="H227" s="256"/>
      <c r="I227" s="256"/>
      <c r="J227" s="256"/>
      <c r="K227" s="256"/>
      <c r="L227" s="256"/>
      <c r="M227" s="9"/>
      <c r="N227" s="9"/>
      <c r="O227" s="9"/>
      <c r="P227" s="9"/>
      <c r="Q227" s="9"/>
      <c r="R227" s="46"/>
      <c r="S227" s="46"/>
      <c r="T227" s="46"/>
      <c r="U227" s="46"/>
      <c r="V227" s="46"/>
      <c r="W227" s="46"/>
      <c r="X227" s="46"/>
      <c r="Y227" s="46"/>
    </row>
    <row r="228" spans="1:25" hidden="1" outlineLevel="1">
      <c r="A228" s="9"/>
      <c r="B228" s="9"/>
      <c r="C228" s="540"/>
      <c r="D228" s="88">
        <v>10</v>
      </c>
      <c r="E228" s="256">
        <f ca="1">OFFSET('Actual RAB roll forward'!H$27,0,D228-1)-SUM('Actual RAB roll forward'!H250:OFFSET('Actual RAB roll forward'!H250,0,Input!$Y$7-1))</f>
        <v>0</v>
      </c>
      <c r="F228" s="256">
        <f>IF(A16stdlife="N/A",0,IF(E228=0,0,A16stdlife+D228-Input!$Y$7))</f>
        <v>0</v>
      </c>
      <c r="G228" s="257"/>
      <c r="H228" s="256"/>
      <c r="I228" s="256"/>
      <c r="J228" s="256"/>
      <c r="K228" s="256"/>
      <c r="L228" s="256"/>
      <c r="M228" s="9"/>
      <c r="N228" s="9"/>
      <c r="O228" s="9"/>
      <c r="P228" s="9"/>
      <c r="Q228" s="9"/>
      <c r="R228" s="46"/>
      <c r="S228" s="46"/>
      <c r="T228" s="46"/>
      <c r="U228" s="46"/>
      <c r="V228" s="46"/>
      <c r="W228" s="46"/>
      <c r="X228" s="46"/>
      <c r="Y228" s="46"/>
    </row>
    <row r="229" spans="1:25" collapsed="1">
      <c r="A229" s="9"/>
      <c r="B229" s="9"/>
      <c r="C229" s="264">
        <f>Asset16</f>
        <v>0</v>
      </c>
      <c r="D229" s="9"/>
      <c r="E229" s="256">
        <f ca="1">SUM(E218:E228)</f>
        <v>0</v>
      </c>
      <c r="F229" s="256"/>
      <c r="G229" s="257"/>
      <c r="H229" s="256"/>
      <c r="I229" s="256"/>
      <c r="J229" s="256"/>
      <c r="K229" s="256"/>
      <c r="L229" s="256"/>
      <c r="M229" s="9"/>
      <c r="N229" s="9"/>
      <c r="O229" s="9"/>
      <c r="P229" s="9"/>
      <c r="Q229" s="9"/>
      <c r="R229" s="46"/>
      <c r="S229" s="46"/>
      <c r="T229" s="46"/>
      <c r="U229" s="46"/>
      <c r="V229" s="46"/>
      <c r="W229" s="46"/>
      <c r="X229" s="46"/>
      <c r="Y229" s="46"/>
    </row>
    <row r="230" spans="1:25" hidden="1" outlineLevel="1">
      <c r="A230" s="9"/>
      <c r="B230" s="9"/>
      <c r="C230" s="264"/>
      <c r="D230" s="9"/>
      <c r="E230" s="256"/>
      <c r="F230" s="256"/>
      <c r="G230" s="257"/>
      <c r="H230" s="256"/>
      <c r="I230" s="256"/>
      <c r="J230" s="256"/>
      <c r="K230" s="256"/>
      <c r="L230" s="256"/>
      <c r="M230" s="9"/>
      <c r="N230" s="9"/>
      <c r="O230" s="9"/>
      <c r="P230" s="9"/>
      <c r="Q230" s="9"/>
      <c r="R230" s="46"/>
      <c r="S230" s="46"/>
      <c r="T230" s="46"/>
      <c r="U230" s="46"/>
      <c r="V230" s="46"/>
      <c r="W230" s="46"/>
      <c r="X230" s="46"/>
      <c r="Y230" s="46"/>
    </row>
    <row r="231" spans="1:25" hidden="1" outlineLevel="1">
      <c r="A231" s="9"/>
      <c r="B231" s="255">
        <f>Asset17</f>
        <v>0</v>
      </c>
      <c r="C231" s="9"/>
      <c r="D231" s="9"/>
      <c r="E231" s="37"/>
      <c r="F231" s="37"/>
      <c r="G231" s="257"/>
      <c r="H231" s="37"/>
      <c r="I231" s="37"/>
      <c r="J231" s="37"/>
      <c r="K231" s="37"/>
      <c r="L231" s="37"/>
      <c r="M231" s="9"/>
      <c r="N231" s="9"/>
      <c r="O231" s="9"/>
      <c r="P231" s="9"/>
      <c r="Q231" s="9"/>
      <c r="R231" s="46"/>
      <c r="S231" s="46"/>
      <c r="T231" s="46"/>
      <c r="U231" s="46"/>
      <c r="V231" s="46"/>
      <c r="W231" s="46"/>
      <c r="X231" s="46"/>
      <c r="Y231" s="46"/>
    </row>
    <row r="232" spans="1:25" ht="12.75" hidden="1" customHeight="1" outlineLevel="1">
      <c r="A232" s="9"/>
      <c r="B232" s="9"/>
      <c r="C232" s="541" t="s">
        <v>28</v>
      </c>
      <c r="D232" s="542"/>
      <c r="E232" s="256">
        <f ca="1">A17value-SUM('Actual RAB roll forward'!H252:OFFSET('Actual RAB roll forward'!H252,0,Input!$Y$7-1))</f>
        <v>0</v>
      </c>
      <c r="F232" s="256">
        <f>IF(A17remlife="N/A",0,A17remlife-Input!$Y$7)</f>
        <v>0</v>
      </c>
      <c r="G232" s="257"/>
      <c r="H232" s="256"/>
      <c r="I232" s="256"/>
      <c r="J232" s="256"/>
      <c r="K232" s="256"/>
      <c r="L232" s="256"/>
      <c r="M232" s="9"/>
      <c r="N232" s="9"/>
      <c r="O232" s="9"/>
      <c r="P232" s="9"/>
      <c r="Q232" s="9"/>
      <c r="R232" s="46"/>
      <c r="S232" s="46"/>
      <c r="T232" s="46"/>
      <c r="U232" s="46"/>
      <c r="V232" s="46"/>
      <c r="W232" s="46"/>
      <c r="X232" s="46"/>
      <c r="Y232" s="46"/>
    </row>
    <row r="233" spans="1:25" ht="12.75" hidden="1" customHeight="1" outlineLevel="1">
      <c r="A233" s="9"/>
      <c r="B233" s="9"/>
      <c r="C233" s="538" t="s">
        <v>86</v>
      </c>
      <c r="D233" s="87">
        <v>1</v>
      </c>
      <c r="E233" s="256">
        <f ca="1">OFFSET('Actual RAB roll forward'!H$28,0,D233-1)-SUM('Actual RAB roll forward'!H254:OFFSET('Actual RAB roll forward'!H254,0,Input!$Y$7-1))</f>
        <v>0</v>
      </c>
      <c r="F233" s="256">
        <f>IF(A17stdlife="N/A",0,IF(E233=0,0,A17stdlife+D233-Input!$Y$7))</f>
        <v>0</v>
      </c>
      <c r="G233" s="257"/>
      <c r="H233" s="256"/>
      <c r="I233" s="256"/>
      <c r="J233" s="256"/>
      <c r="K233" s="256"/>
      <c r="L233" s="256"/>
      <c r="M233" s="9"/>
      <c r="N233" s="9"/>
      <c r="O233" s="9"/>
      <c r="P233" s="9"/>
      <c r="Q233" s="9"/>
      <c r="R233" s="46"/>
      <c r="S233" s="46"/>
      <c r="T233" s="46"/>
      <c r="U233" s="46"/>
      <c r="V233" s="46"/>
      <c r="W233" s="46"/>
      <c r="X233" s="46"/>
      <c r="Y233" s="46"/>
    </row>
    <row r="234" spans="1:25" hidden="1" outlineLevel="1">
      <c r="A234" s="9"/>
      <c r="B234" s="9"/>
      <c r="C234" s="539"/>
      <c r="D234" s="87">
        <v>2</v>
      </c>
      <c r="E234" s="256">
        <f ca="1">OFFSET('Actual RAB roll forward'!H$28,0,D234-1)-SUM('Actual RAB roll forward'!H255:OFFSET('Actual RAB roll forward'!H255,0,Input!$Y$7-1))</f>
        <v>0</v>
      </c>
      <c r="F234" s="256">
        <f>IF(A17stdlife="N/A",0,IF(E234=0,0,A17stdlife+D234-Input!$Y$7))</f>
        <v>0</v>
      </c>
      <c r="G234" s="257"/>
      <c r="H234" s="256"/>
      <c r="I234" s="256"/>
      <c r="J234" s="256"/>
      <c r="K234" s="256"/>
      <c r="L234" s="256"/>
      <c r="M234" s="9"/>
      <c r="N234" s="9"/>
      <c r="O234" s="9"/>
      <c r="P234" s="9"/>
      <c r="Q234" s="9"/>
      <c r="R234" s="46"/>
      <c r="S234" s="46"/>
      <c r="T234" s="46"/>
      <c r="U234" s="46"/>
      <c r="V234" s="46"/>
      <c r="W234" s="46"/>
      <c r="X234" s="46"/>
      <c r="Y234" s="46"/>
    </row>
    <row r="235" spans="1:25" hidden="1" outlineLevel="1">
      <c r="A235" s="9"/>
      <c r="B235" s="9"/>
      <c r="C235" s="539"/>
      <c r="D235" s="87">
        <v>3</v>
      </c>
      <c r="E235" s="256">
        <f ca="1">OFFSET('Actual RAB roll forward'!H$28,0,D235-1)-SUM('Actual RAB roll forward'!H256:OFFSET('Actual RAB roll forward'!H256,0,Input!$Y$7-1))</f>
        <v>0</v>
      </c>
      <c r="F235" s="256">
        <f>IF(A17stdlife="N/A",0,IF(E235=0,0,A17stdlife+D235-Input!$Y$7))</f>
        <v>0</v>
      </c>
      <c r="G235" s="257"/>
      <c r="H235" s="256"/>
      <c r="I235" s="256"/>
      <c r="J235" s="256"/>
      <c r="K235" s="256"/>
      <c r="L235" s="256"/>
      <c r="M235" s="9"/>
      <c r="N235" s="9"/>
      <c r="O235" s="9"/>
      <c r="P235" s="9"/>
      <c r="Q235" s="9"/>
      <c r="R235" s="46"/>
      <c r="S235" s="46"/>
      <c r="T235" s="46"/>
      <c r="U235" s="46"/>
      <c r="V235" s="46"/>
      <c r="W235" s="46"/>
      <c r="X235" s="46"/>
      <c r="Y235" s="46"/>
    </row>
    <row r="236" spans="1:25" hidden="1" outlineLevel="1">
      <c r="A236" s="9"/>
      <c r="B236" s="9"/>
      <c r="C236" s="539"/>
      <c r="D236" s="87">
        <v>4</v>
      </c>
      <c r="E236" s="256">
        <f ca="1">OFFSET('Actual RAB roll forward'!H$28,0,D236-1)-SUM('Actual RAB roll forward'!H257:OFFSET('Actual RAB roll forward'!H257,0,Input!$Y$7-1))</f>
        <v>0</v>
      </c>
      <c r="F236" s="256">
        <f>IF(A17stdlife="N/A",0,IF(E236=0,0,A17stdlife+D236-Input!$Y$7))</f>
        <v>0</v>
      </c>
      <c r="G236" s="257"/>
      <c r="H236" s="256"/>
      <c r="I236" s="256"/>
      <c r="J236" s="256"/>
      <c r="K236" s="256"/>
      <c r="L236" s="256"/>
      <c r="M236" s="9"/>
      <c r="N236" s="9"/>
      <c r="O236" s="9"/>
      <c r="P236" s="9"/>
      <c r="Q236" s="9"/>
      <c r="R236" s="46"/>
      <c r="S236" s="46"/>
      <c r="T236" s="46"/>
      <c r="U236" s="46"/>
      <c r="V236" s="46"/>
      <c r="W236" s="46"/>
      <c r="X236" s="46"/>
      <c r="Y236" s="46"/>
    </row>
    <row r="237" spans="1:25" hidden="1" outlineLevel="1">
      <c r="A237" s="9"/>
      <c r="B237" s="9"/>
      <c r="C237" s="539"/>
      <c r="D237" s="87">
        <v>5</v>
      </c>
      <c r="E237" s="256">
        <f ca="1">OFFSET('Actual RAB roll forward'!H$28,0,D237-1)-SUM('Actual RAB roll forward'!H258:OFFSET('Actual RAB roll forward'!H258,0,Input!$Y$7-1))</f>
        <v>0</v>
      </c>
      <c r="F237" s="256">
        <f>IF(A17stdlife="N/A",0,IF(E237=0,0,A17stdlife+D237-Input!$Y$7))</f>
        <v>0</v>
      </c>
      <c r="G237" s="257"/>
      <c r="H237" s="256"/>
      <c r="I237" s="256"/>
      <c r="J237" s="256"/>
      <c r="K237" s="256"/>
      <c r="L237" s="256"/>
      <c r="M237" s="9"/>
      <c r="N237" s="9"/>
      <c r="O237" s="9"/>
      <c r="P237" s="9"/>
      <c r="Q237" s="9"/>
      <c r="R237" s="46"/>
      <c r="S237" s="46"/>
      <c r="T237" s="46"/>
      <c r="U237" s="46"/>
      <c r="V237" s="46"/>
      <c r="W237" s="46"/>
      <c r="X237" s="46"/>
      <c r="Y237" s="46"/>
    </row>
    <row r="238" spans="1:25" hidden="1" outlineLevel="1">
      <c r="A238" s="9"/>
      <c r="B238" s="9"/>
      <c r="C238" s="539"/>
      <c r="D238" s="87">
        <v>6</v>
      </c>
      <c r="E238" s="256">
        <f ca="1">OFFSET('Actual RAB roll forward'!H$28,0,D238-1)-SUM('Actual RAB roll forward'!H259:OFFSET('Actual RAB roll forward'!H259,0,Input!$Y$7-1))</f>
        <v>0</v>
      </c>
      <c r="F238" s="256">
        <f>IF(A17stdlife="N/A",0,IF(E238=0,0,A17stdlife+D238-Input!$Y$7))</f>
        <v>0</v>
      </c>
      <c r="G238" s="257"/>
      <c r="H238" s="256"/>
      <c r="I238" s="256"/>
      <c r="J238" s="256"/>
      <c r="K238" s="256"/>
      <c r="L238" s="256"/>
      <c r="M238" s="9"/>
      <c r="N238" s="9"/>
      <c r="O238" s="9"/>
      <c r="P238" s="9"/>
      <c r="Q238" s="9"/>
      <c r="R238" s="46"/>
      <c r="S238" s="46"/>
      <c r="T238" s="46"/>
      <c r="U238" s="46"/>
      <c r="V238" s="46"/>
      <c r="W238" s="46"/>
      <c r="X238" s="46"/>
      <c r="Y238" s="46"/>
    </row>
    <row r="239" spans="1:25" hidden="1" outlineLevel="1">
      <c r="A239" s="9"/>
      <c r="B239" s="9"/>
      <c r="C239" s="539"/>
      <c r="D239" s="87">
        <v>7</v>
      </c>
      <c r="E239" s="256">
        <f ca="1">OFFSET('Actual RAB roll forward'!H$28,0,D239-1)-SUM('Actual RAB roll forward'!H260:OFFSET('Actual RAB roll forward'!H260,0,Input!$Y$7-1))</f>
        <v>0</v>
      </c>
      <c r="F239" s="256">
        <f>IF(A17stdlife="N/A",0,IF(E239=0,0,A17stdlife+D239-Input!$Y$7))</f>
        <v>0</v>
      </c>
      <c r="G239" s="257"/>
      <c r="H239" s="256"/>
      <c r="I239" s="256"/>
      <c r="J239" s="256"/>
      <c r="K239" s="256"/>
      <c r="L239" s="256"/>
      <c r="M239" s="9"/>
      <c r="N239" s="9"/>
      <c r="O239" s="9"/>
      <c r="P239" s="9"/>
      <c r="Q239" s="9"/>
      <c r="R239" s="46"/>
      <c r="S239" s="46"/>
      <c r="T239" s="46"/>
      <c r="U239" s="46"/>
      <c r="V239" s="46"/>
      <c r="W239" s="46"/>
      <c r="X239" s="46"/>
      <c r="Y239" s="46"/>
    </row>
    <row r="240" spans="1:25" hidden="1" outlineLevel="1">
      <c r="A240" s="9"/>
      <c r="B240" s="9"/>
      <c r="C240" s="539"/>
      <c r="D240" s="87">
        <v>8</v>
      </c>
      <c r="E240" s="256">
        <f ca="1">OFFSET('Actual RAB roll forward'!H$28,0,D240-1)-SUM('Actual RAB roll forward'!H261:OFFSET('Actual RAB roll forward'!H261,0,Input!$Y$7-1))</f>
        <v>0</v>
      </c>
      <c r="F240" s="256">
        <f>IF(A17stdlife="N/A",0,IF(E240=0,0,A17stdlife+D240-Input!$Y$7))</f>
        <v>0</v>
      </c>
      <c r="G240" s="257"/>
      <c r="H240" s="256"/>
      <c r="I240" s="256"/>
      <c r="J240" s="256"/>
      <c r="K240" s="256"/>
      <c r="L240" s="256"/>
      <c r="M240" s="9"/>
      <c r="N240" s="9"/>
      <c r="O240" s="9"/>
      <c r="P240" s="9"/>
      <c r="Q240" s="9"/>
      <c r="R240" s="46"/>
      <c r="S240" s="46"/>
      <c r="T240" s="46"/>
      <c r="U240" s="46"/>
      <c r="V240" s="46"/>
      <c r="W240" s="46"/>
      <c r="X240" s="46"/>
      <c r="Y240" s="46"/>
    </row>
    <row r="241" spans="1:25" hidden="1" outlineLevel="1">
      <c r="A241" s="9"/>
      <c r="B241" s="9"/>
      <c r="C241" s="539"/>
      <c r="D241" s="87">
        <v>9</v>
      </c>
      <c r="E241" s="256">
        <f ca="1">OFFSET('Actual RAB roll forward'!H$28,0,D241-1)-SUM('Actual RAB roll forward'!H262:OFFSET('Actual RAB roll forward'!H262,0,Input!$Y$7-1))</f>
        <v>0</v>
      </c>
      <c r="F241" s="256">
        <f>IF(A17stdlife="N/A",0,IF(E241=0,0,A17stdlife+D241-Input!$Y$7))</f>
        <v>0</v>
      </c>
      <c r="G241" s="257"/>
      <c r="H241" s="256"/>
      <c r="I241" s="256"/>
      <c r="J241" s="256"/>
      <c r="K241" s="256"/>
      <c r="L241" s="256"/>
      <c r="M241" s="9"/>
      <c r="N241" s="9"/>
      <c r="O241" s="9"/>
      <c r="P241" s="9"/>
      <c r="Q241" s="9"/>
      <c r="R241" s="46"/>
      <c r="S241" s="46"/>
      <c r="T241" s="46"/>
      <c r="U241" s="46"/>
      <c r="V241" s="46"/>
      <c r="W241" s="46"/>
      <c r="X241" s="46"/>
      <c r="Y241" s="46"/>
    </row>
    <row r="242" spans="1:25" hidden="1" outlineLevel="1">
      <c r="A242" s="9"/>
      <c r="B242" s="9"/>
      <c r="C242" s="540"/>
      <c r="D242" s="88">
        <v>10</v>
      </c>
      <c r="E242" s="256">
        <f ca="1">OFFSET('Actual RAB roll forward'!H$28,0,D242-1)-SUM('Actual RAB roll forward'!H263:OFFSET('Actual RAB roll forward'!H263,0,Input!$Y$7-1))</f>
        <v>0</v>
      </c>
      <c r="F242" s="256">
        <f>IF(A17stdlife="N/A",0,IF(E242=0,0,A17stdlife+D242-Input!$Y$7))</f>
        <v>0</v>
      </c>
      <c r="G242" s="257"/>
      <c r="H242" s="256"/>
      <c r="I242" s="256"/>
      <c r="J242" s="256"/>
      <c r="K242" s="256"/>
      <c r="L242" s="256"/>
      <c r="M242" s="9"/>
      <c r="N242" s="9"/>
      <c r="O242" s="9"/>
      <c r="P242" s="9"/>
      <c r="Q242" s="9"/>
      <c r="R242" s="46"/>
      <c r="S242" s="46"/>
      <c r="T242" s="46"/>
      <c r="U242" s="46"/>
      <c r="V242" s="46"/>
      <c r="W242" s="46"/>
      <c r="X242" s="46"/>
      <c r="Y242" s="46"/>
    </row>
    <row r="243" spans="1:25" collapsed="1">
      <c r="A243" s="9"/>
      <c r="B243" s="9"/>
      <c r="C243" s="264">
        <f>Asset17</f>
        <v>0</v>
      </c>
      <c r="D243" s="9"/>
      <c r="E243" s="256">
        <f ca="1">SUM(E232:E242)</f>
        <v>0</v>
      </c>
      <c r="F243" s="256"/>
      <c r="G243" s="257"/>
      <c r="H243" s="256"/>
      <c r="I243" s="256"/>
      <c r="J243" s="256"/>
      <c r="K243" s="256"/>
      <c r="L243" s="256"/>
      <c r="M243" s="9"/>
      <c r="N243" s="9"/>
      <c r="O243" s="9"/>
      <c r="P243" s="9"/>
      <c r="Q243" s="9"/>
      <c r="R243" s="46"/>
      <c r="S243" s="46"/>
      <c r="T243" s="46"/>
      <c r="U243" s="46"/>
      <c r="V243" s="46"/>
      <c r="W243" s="46"/>
      <c r="X243" s="46"/>
      <c r="Y243" s="46"/>
    </row>
    <row r="244" spans="1:25" hidden="1" outlineLevel="1">
      <c r="A244" s="9"/>
      <c r="B244" s="9"/>
      <c r="C244" s="264"/>
      <c r="D244" s="9"/>
      <c r="E244" s="256"/>
      <c r="F244" s="256"/>
      <c r="G244" s="257"/>
      <c r="H244" s="256"/>
      <c r="I244" s="256"/>
      <c r="J244" s="256"/>
      <c r="K244" s="256"/>
      <c r="L244" s="256"/>
      <c r="M244" s="9"/>
      <c r="N244" s="9"/>
      <c r="O244" s="9"/>
      <c r="P244" s="9"/>
      <c r="Q244" s="9"/>
      <c r="R244" s="46"/>
      <c r="S244" s="46"/>
      <c r="T244" s="46"/>
      <c r="U244" s="46"/>
      <c r="V244" s="46"/>
      <c r="W244" s="46"/>
      <c r="X244" s="46"/>
      <c r="Y244" s="46"/>
    </row>
    <row r="245" spans="1:25" hidden="1" outlineLevel="1">
      <c r="A245" s="9"/>
      <c r="B245" s="255">
        <f>Asset18</f>
        <v>0</v>
      </c>
      <c r="C245" s="9"/>
      <c r="D245" s="9"/>
      <c r="E245" s="37"/>
      <c r="F245" s="37"/>
      <c r="G245" s="257"/>
      <c r="H245" s="37"/>
      <c r="I245" s="37"/>
      <c r="J245" s="37"/>
      <c r="K245" s="37"/>
      <c r="L245" s="37"/>
      <c r="M245" s="9"/>
      <c r="N245" s="9"/>
      <c r="O245" s="9"/>
      <c r="P245" s="9"/>
      <c r="Q245" s="9"/>
      <c r="R245" s="46"/>
      <c r="S245" s="46"/>
      <c r="T245" s="46"/>
      <c r="U245" s="46"/>
      <c r="V245" s="46"/>
      <c r="W245" s="46"/>
      <c r="X245" s="46"/>
      <c r="Y245" s="46"/>
    </row>
    <row r="246" spans="1:25" ht="12.75" hidden="1" customHeight="1" outlineLevel="1">
      <c r="A246" s="9"/>
      <c r="B246" s="9"/>
      <c r="C246" s="541" t="s">
        <v>28</v>
      </c>
      <c r="D246" s="542"/>
      <c r="E246" s="256">
        <f ca="1">A18value-SUM('Actual RAB roll forward'!H265:OFFSET('Actual RAB roll forward'!H265,0,Input!$Y$7-1))</f>
        <v>0</v>
      </c>
      <c r="F246" s="256">
        <f>IF(A18remlife="N/A",0,A18remlife-Input!$Y$7)</f>
        <v>0</v>
      </c>
      <c r="G246" s="257"/>
      <c r="H246" s="256"/>
      <c r="I246" s="256"/>
      <c r="J246" s="256"/>
      <c r="K246" s="256"/>
      <c r="L246" s="256"/>
      <c r="M246" s="9"/>
      <c r="N246" s="9"/>
      <c r="O246" s="9"/>
      <c r="P246" s="9"/>
      <c r="Q246" s="9"/>
      <c r="R246" s="46"/>
      <c r="S246" s="46"/>
      <c r="T246" s="46"/>
      <c r="U246" s="46"/>
      <c r="V246" s="46"/>
      <c r="W246" s="46"/>
      <c r="X246" s="46"/>
      <c r="Y246" s="46"/>
    </row>
    <row r="247" spans="1:25" ht="12.75" hidden="1" customHeight="1" outlineLevel="1">
      <c r="A247" s="9"/>
      <c r="B247" s="9"/>
      <c r="C247" s="538" t="s">
        <v>86</v>
      </c>
      <c r="D247" s="87">
        <v>1</v>
      </c>
      <c r="E247" s="256">
        <f ca="1">OFFSET('Actual RAB roll forward'!H$29,0,D247-1)-SUM('Actual RAB roll forward'!H267:OFFSET('Actual RAB roll forward'!H267,0,Input!$Y$7-1))</f>
        <v>0</v>
      </c>
      <c r="F247" s="256">
        <f>IF(A18stdlife="N/A",0,IF(E247=0,0,A18stdlife+D247-Input!$Y$7))</f>
        <v>0</v>
      </c>
      <c r="G247" s="257"/>
      <c r="H247" s="256"/>
      <c r="I247" s="256"/>
      <c r="J247" s="256"/>
      <c r="K247" s="256"/>
      <c r="L247" s="256"/>
      <c r="M247" s="9"/>
      <c r="N247" s="9"/>
      <c r="O247" s="9"/>
      <c r="P247" s="9"/>
      <c r="Q247" s="9"/>
      <c r="R247" s="46"/>
      <c r="S247" s="46"/>
      <c r="T247" s="46"/>
      <c r="U247" s="46"/>
      <c r="V247" s="46"/>
      <c r="W247" s="46"/>
      <c r="X247" s="46"/>
      <c r="Y247" s="46"/>
    </row>
    <row r="248" spans="1:25" hidden="1" outlineLevel="1">
      <c r="A248" s="9"/>
      <c r="B248" s="9"/>
      <c r="C248" s="539"/>
      <c r="D248" s="87">
        <v>2</v>
      </c>
      <c r="E248" s="256">
        <f ca="1">OFFSET('Actual RAB roll forward'!H$29,0,D248-1)-SUM('Actual RAB roll forward'!H268:OFFSET('Actual RAB roll forward'!H268,0,Input!$Y$7-1))</f>
        <v>0</v>
      </c>
      <c r="F248" s="256">
        <f>IF(A18stdlife="N/A",0,IF(E248=0,0,A18stdlife+D248-Input!$Y$7))</f>
        <v>0</v>
      </c>
      <c r="G248" s="257"/>
      <c r="H248" s="256"/>
      <c r="I248" s="256"/>
      <c r="J248" s="256"/>
      <c r="K248" s="256"/>
      <c r="L248" s="256"/>
      <c r="M248" s="9"/>
      <c r="N248" s="9"/>
      <c r="O248" s="9"/>
      <c r="P248" s="9"/>
      <c r="Q248" s="9"/>
      <c r="R248" s="46"/>
      <c r="S248" s="46"/>
      <c r="T248" s="46"/>
      <c r="U248" s="46"/>
      <c r="V248" s="46"/>
      <c r="W248" s="46"/>
      <c r="X248" s="46"/>
      <c r="Y248" s="46"/>
    </row>
    <row r="249" spans="1:25" hidden="1" outlineLevel="1">
      <c r="A249" s="9"/>
      <c r="B249" s="9"/>
      <c r="C249" s="539"/>
      <c r="D249" s="87">
        <v>3</v>
      </c>
      <c r="E249" s="256">
        <f ca="1">OFFSET('Actual RAB roll forward'!H$29,0,D249-1)-SUM('Actual RAB roll forward'!H269:OFFSET('Actual RAB roll forward'!H269,0,Input!$Y$7-1))</f>
        <v>0</v>
      </c>
      <c r="F249" s="256">
        <f>IF(A18stdlife="N/A",0,IF(E249=0,0,A18stdlife+D249-Input!$Y$7))</f>
        <v>0</v>
      </c>
      <c r="G249" s="257"/>
      <c r="H249" s="256"/>
      <c r="I249" s="256"/>
      <c r="J249" s="256"/>
      <c r="K249" s="256"/>
      <c r="L249" s="256"/>
      <c r="M249" s="9"/>
      <c r="N249" s="9"/>
      <c r="O249" s="9"/>
      <c r="P249" s="9"/>
      <c r="Q249" s="9"/>
      <c r="R249" s="46"/>
      <c r="S249" s="46"/>
      <c r="T249" s="46"/>
      <c r="U249" s="46"/>
      <c r="V249" s="46"/>
      <c r="W249" s="46"/>
      <c r="X249" s="46"/>
      <c r="Y249" s="46"/>
    </row>
    <row r="250" spans="1:25" hidden="1" outlineLevel="1">
      <c r="A250" s="9"/>
      <c r="B250" s="9"/>
      <c r="C250" s="539"/>
      <c r="D250" s="87">
        <v>4</v>
      </c>
      <c r="E250" s="256">
        <f ca="1">OFFSET('Actual RAB roll forward'!H$29,0,D250-1)-SUM('Actual RAB roll forward'!H270:OFFSET('Actual RAB roll forward'!H270,0,Input!$Y$7-1))</f>
        <v>0</v>
      </c>
      <c r="F250" s="256">
        <f>IF(A18stdlife="N/A",0,IF(E250=0,0,A18stdlife+D250-Input!$Y$7))</f>
        <v>0</v>
      </c>
      <c r="G250" s="257"/>
      <c r="H250" s="256"/>
      <c r="I250" s="256"/>
      <c r="J250" s="256"/>
      <c r="K250" s="256"/>
      <c r="L250" s="256"/>
      <c r="M250" s="9"/>
      <c r="N250" s="9"/>
      <c r="O250" s="9"/>
      <c r="P250" s="9"/>
      <c r="Q250" s="9"/>
      <c r="R250" s="46"/>
      <c r="S250" s="46"/>
      <c r="T250" s="46"/>
      <c r="U250" s="46"/>
      <c r="V250" s="46"/>
      <c r="W250" s="46"/>
      <c r="X250" s="46"/>
      <c r="Y250" s="46"/>
    </row>
    <row r="251" spans="1:25" hidden="1" outlineLevel="1">
      <c r="A251" s="9"/>
      <c r="B251" s="9"/>
      <c r="C251" s="539"/>
      <c r="D251" s="87">
        <v>5</v>
      </c>
      <c r="E251" s="256">
        <f ca="1">OFFSET('Actual RAB roll forward'!H$29,0,D251-1)-SUM('Actual RAB roll forward'!H271:OFFSET('Actual RAB roll forward'!H271,0,Input!$Y$7-1))</f>
        <v>0</v>
      </c>
      <c r="F251" s="256">
        <f>IF(A18stdlife="N/A",0,IF(E251=0,0,A18stdlife+D251-Input!$Y$7))</f>
        <v>0</v>
      </c>
      <c r="G251" s="257"/>
      <c r="H251" s="256"/>
      <c r="I251" s="256"/>
      <c r="J251" s="256"/>
      <c r="K251" s="256"/>
      <c r="L251" s="256"/>
      <c r="M251" s="9"/>
      <c r="N251" s="9"/>
      <c r="O251" s="9"/>
      <c r="P251" s="9"/>
      <c r="Q251" s="9"/>
      <c r="R251" s="46"/>
      <c r="S251" s="46"/>
      <c r="T251" s="46"/>
      <c r="U251" s="46"/>
      <c r="V251" s="46"/>
      <c r="W251" s="46"/>
      <c r="X251" s="46"/>
      <c r="Y251" s="46"/>
    </row>
    <row r="252" spans="1:25" hidden="1" outlineLevel="1">
      <c r="A252" s="9"/>
      <c r="B252" s="9"/>
      <c r="C252" s="539"/>
      <c r="D252" s="87">
        <v>6</v>
      </c>
      <c r="E252" s="256">
        <f ca="1">OFFSET('Actual RAB roll forward'!H$29,0,D252-1)-SUM('Actual RAB roll forward'!H272:OFFSET('Actual RAB roll forward'!H272,0,Input!$Y$7-1))</f>
        <v>0</v>
      </c>
      <c r="F252" s="256">
        <f>IF(A18stdlife="N/A",0,IF(E252=0,0,A18stdlife+D252-Input!$Y$7))</f>
        <v>0</v>
      </c>
      <c r="G252" s="257"/>
      <c r="H252" s="256"/>
      <c r="I252" s="256"/>
      <c r="J252" s="256"/>
      <c r="K252" s="256"/>
      <c r="L252" s="256"/>
      <c r="M252" s="9"/>
      <c r="N252" s="9"/>
      <c r="O252" s="9"/>
      <c r="P252" s="9"/>
      <c r="Q252" s="9"/>
      <c r="R252" s="46"/>
      <c r="S252" s="46"/>
      <c r="T252" s="46"/>
      <c r="U252" s="46"/>
      <c r="V252" s="46"/>
      <c r="W252" s="46"/>
      <c r="X252" s="46"/>
      <c r="Y252" s="46"/>
    </row>
    <row r="253" spans="1:25" hidden="1" outlineLevel="1">
      <c r="A253" s="9"/>
      <c r="B253" s="9"/>
      <c r="C253" s="539"/>
      <c r="D253" s="87">
        <v>7</v>
      </c>
      <c r="E253" s="256">
        <f ca="1">OFFSET('Actual RAB roll forward'!H$29,0,D253-1)-SUM('Actual RAB roll forward'!H273:OFFSET('Actual RAB roll forward'!H273,0,Input!$Y$7-1))</f>
        <v>0</v>
      </c>
      <c r="F253" s="256">
        <f>IF(A18stdlife="N/A",0,IF(E253=0,0,A18stdlife+D253-Input!$Y$7))</f>
        <v>0</v>
      </c>
      <c r="G253" s="257"/>
      <c r="H253" s="256"/>
      <c r="I253" s="256"/>
      <c r="J253" s="256"/>
      <c r="K253" s="256"/>
      <c r="L253" s="256"/>
      <c r="M253" s="9"/>
      <c r="N253" s="9"/>
      <c r="O253" s="9"/>
      <c r="P253" s="9"/>
      <c r="Q253" s="9"/>
      <c r="R253" s="46"/>
      <c r="S253" s="46"/>
      <c r="T253" s="46"/>
      <c r="U253" s="46"/>
      <c r="V253" s="46"/>
      <c r="W253" s="46"/>
      <c r="X253" s="46"/>
      <c r="Y253" s="46"/>
    </row>
    <row r="254" spans="1:25" hidden="1" outlineLevel="1">
      <c r="A254" s="9"/>
      <c r="B254" s="9"/>
      <c r="C254" s="539"/>
      <c r="D254" s="87">
        <v>8</v>
      </c>
      <c r="E254" s="256">
        <f ca="1">OFFSET('Actual RAB roll forward'!H$29,0,D254-1)-SUM('Actual RAB roll forward'!H274:OFFSET('Actual RAB roll forward'!H274,0,Input!$Y$7-1))</f>
        <v>0</v>
      </c>
      <c r="F254" s="256">
        <f>IF(A18stdlife="N/A",0,IF(E254=0,0,A18stdlife+D254-Input!$Y$7))</f>
        <v>0</v>
      </c>
      <c r="G254" s="257"/>
      <c r="H254" s="256"/>
      <c r="I254" s="256"/>
      <c r="J254" s="256"/>
      <c r="K254" s="256"/>
      <c r="L254" s="256"/>
      <c r="M254" s="9"/>
      <c r="N254" s="9"/>
      <c r="O254" s="9"/>
      <c r="P254" s="9"/>
      <c r="Q254" s="9"/>
      <c r="R254" s="46"/>
      <c r="S254" s="46"/>
      <c r="T254" s="46"/>
      <c r="U254" s="46"/>
      <c r="V254" s="46"/>
      <c r="W254" s="46"/>
      <c r="X254" s="46"/>
      <c r="Y254" s="46"/>
    </row>
    <row r="255" spans="1:25" hidden="1" outlineLevel="1">
      <c r="A255" s="9"/>
      <c r="B255" s="9"/>
      <c r="C255" s="539"/>
      <c r="D255" s="87">
        <v>9</v>
      </c>
      <c r="E255" s="256">
        <f ca="1">OFFSET('Actual RAB roll forward'!H$29,0,D255-1)-SUM('Actual RAB roll forward'!H275:OFFSET('Actual RAB roll forward'!H275,0,Input!$Y$7-1))</f>
        <v>0</v>
      </c>
      <c r="F255" s="256">
        <f>IF(A18stdlife="N/A",0,IF(E255=0,0,A18stdlife+D255-Input!$Y$7))</f>
        <v>0</v>
      </c>
      <c r="G255" s="257"/>
      <c r="H255" s="256"/>
      <c r="I255" s="256"/>
      <c r="J255" s="256"/>
      <c r="K255" s="256"/>
      <c r="L255" s="256"/>
      <c r="M255" s="9"/>
      <c r="N255" s="9"/>
      <c r="O255" s="9"/>
      <c r="P255" s="9"/>
      <c r="Q255" s="9"/>
      <c r="R255" s="46"/>
      <c r="S255" s="46"/>
      <c r="T255" s="46"/>
      <c r="U255" s="46"/>
      <c r="V255" s="46"/>
      <c r="W255" s="46"/>
      <c r="X255" s="46"/>
      <c r="Y255" s="46"/>
    </row>
    <row r="256" spans="1:25" hidden="1" outlineLevel="1">
      <c r="A256" s="9"/>
      <c r="B256" s="9"/>
      <c r="C256" s="540"/>
      <c r="D256" s="88">
        <v>10</v>
      </c>
      <c r="E256" s="256">
        <f ca="1">OFFSET('Actual RAB roll forward'!H$29,0,D256-1)-SUM('Actual RAB roll forward'!H276:OFFSET('Actual RAB roll forward'!H276,0,Input!$Y$7-1))</f>
        <v>0</v>
      </c>
      <c r="F256" s="256">
        <f>IF(A18stdlife="N/A",0,IF(E256=0,0,A18stdlife+D256-Input!$Y$7))</f>
        <v>0</v>
      </c>
      <c r="G256" s="257"/>
      <c r="H256" s="256"/>
      <c r="I256" s="256"/>
      <c r="J256" s="256"/>
      <c r="K256" s="256"/>
      <c r="L256" s="256"/>
      <c r="M256" s="9"/>
      <c r="N256" s="9"/>
      <c r="O256" s="9"/>
      <c r="P256" s="9"/>
      <c r="Q256" s="9"/>
      <c r="R256" s="46"/>
      <c r="S256" s="46"/>
      <c r="T256" s="46"/>
      <c r="U256" s="46"/>
      <c r="V256" s="46"/>
      <c r="W256" s="46"/>
      <c r="X256" s="46"/>
      <c r="Y256" s="46"/>
    </row>
    <row r="257" spans="1:25" collapsed="1">
      <c r="A257" s="9"/>
      <c r="B257" s="9"/>
      <c r="C257" s="264">
        <f>Asset18</f>
        <v>0</v>
      </c>
      <c r="D257" s="9"/>
      <c r="E257" s="256">
        <f ca="1">SUM(E246:E256)</f>
        <v>0</v>
      </c>
      <c r="F257" s="256"/>
      <c r="G257" s="257"/>
      <c r="H257" s="256"/>
      <c r="I257" s="256"/>
      <c r="J257" s="256"/>
      <c r="K257" s="256"/>
      <c r="L257" s="256"/>
      <c r="M257" s="9"/>
      <c r="N257" s="9"/>
      <c r="O257" s="9"/>
      <c r="P257" s="9"/>
      <c r="Q257" s="9"/>
      <c r="R257" s="46"/>
      <c r="S257" s="46"/>
      <c r="T257" s="46"/>
      <c r="U257" s="46"/>
      <c r="V257" s="46"/>
      <c r="W257" s="46"/>
      <c r="X257" s="46"/>
      <c r="Y257" s="46"/>
    </row>
    <row r="258" spans="1:25" hidden="1" outlineLevel="1">
      <c r="A258" s="9"/>
      <c r="B258" s="9"/>
      <c r="C258" s="264"/>
      <c r="D258" s="9"/>
      <c r="E258" s="256"/>
      <c r="F258" s="256"/>
      <c r="G258" s="257"/>
      <c r="H258" s="256"/>
      <c r="I258" s="256"/>
      <c r="J258" s="256"/>
      <c r="K258" s="256"/>
      <c r="L258" s="256"/>
      <c r="M258" s="9"/>
      <c r="N258" s="9"/>
      <c r="O258" s="9"/>
      <c r="P258" s="9"/>
      <c r="Q258" s="9"/>
      <c r="R258" s="46"/>
      <c r="S258" s="46"/>
      <c r="T258" s="46"/>
      <c r="U258" s="46"/>
      <c r="V258" s="46"/>
      <c r="W258" s="46"/>
      <c r="X258" s="46"/>
      <c r="Y258" s="46"/>
    </row>
    <row r="259" spans="1:25" hidden="1" outlineLevel="1">
      <c r="A259" s="9"/>
      <c r="B259" s="255">
        <f>Asset19</f>
        <v>0</v>
      </c>
      <c r="C259" s="9"/>
      <c r="D259" s="9"/>
      <c r="E259" s="37"/>
      <c r="F259" s="37"/>
      <c r="G259" s="257"/>
      <c r="H259" s="37"/>
      <c r="I259" s="37"/>
      <c r="J259" s="37"/>
      <c r="K259" s="37"/>
      <c r="L259" s="37"/>
      <c r="M259" s="9"/>
      <c r="N259" s="9"/>
      <c r="O259" s="9"/>
      <c r="P259" s="9"/>
      <c r="Q259" s="9"/>
      <c r="R259" s="46"/>
      <c r="S259" s="46"/>
      <c r="T259" s="46"/>
      <c r="U259" s="46"/>
      <c r="V259" s="46"/>
      <c r="W259" s="46"/>
      <c r="X259" s="46"/>
      <c r="Y259" s="46"/>
    </row>
    <row r="260" spans="1:25" ht="12.75" hidden="1" customHeight="1" outlineLevel="1">
      <c r="A260" s="9"/>
      <c r="B260" s="9"/>
      <c r="C260" s="541" t="s">
        <v>28</v>
      </c>
      <c r="D260" s="542"/>
      <c r="E260" s="256">
        <f ca="1">A19value-SUM('Actual RAB roll forward'!H278:OFFSET('Actual RAB roll forward'!H278,0,Input!$Y$7-1))</f>
        <v>0</v>
      </c>
      <c r="F260" s="256">
        <f>IF(A19remlife="N/A",0,A19remlife-Input!$Y$7)</f>
        <v>0</v>
      </c>
      <c r="G260" s="257"/>
      <c r="H260" s="256"/>
      <c r="I260" s="256"/>
      <c r="J260" s="256"/>
      <c r="K260" s="256"/>
      <c r="L260" s="256"/>
      <c r="M260" s="9"/>
      <c r="N260" s="9"/>
      <c r="O260" s="9"/>
      <c r="P260" s="9"/>
      <c r="Q260" s="9"/>
      <c r="R260" s="46"/>
      <c r="S260" s="46"/>
      <c r="T260" s="46"/>
      <c r="U260" s="46"/>
      <c r="V260" s="46"/>
      <c r="W260" s="46"/>
      <c r="X260" s="46"/>
      <c r="Y260" s="46"/>
    </row>
    <row r="261" spans="1:25" ht="12.75" hidden="1" customHeight="1" outlineLevel="1">
      <c r="A261" s="9"/>
      <c r="B261" s="9"/>
      <c r="C261" s="538" t="s">
        <v>86</v>
      </c>
      <c r="D261" s="87">
        <v>1</v>
      </c>
      <c r="E261" s="256">
        <f ca="1">OFFSET('Actual RAB roll forward'!H$30,0,D261-1)-SUM('Actual RAB roll forward'!H280:OFFSET('Actual RAB roll forward'!H280,0,Input!$Y$7-1))</f>
        <v>0</v>
      </c>
      <c r="F261" s="256">
        <f>IF(A19stdlife="N/A",0,IF(E261=0,0,A19stdlife+D261-Input!$Y$7))</f>
        <v>0</v>
      </c>
      <c r="G261" s="257"/>
      <c r="H261" s="256"/>
      <c r="I261" s="256"/>
      <c r="J261" s="256"/>
      <c r="K261" s="256"/>
      <c r="L261" s="256"/>
      <c r="M261" s="9"/>
      <c r="N261" s="9"/>
      <c r="O261" s="9"/>
      <c r="P261" s="9"/>
      <c r="Q261" s="9"/>
      <c r="R261" s="46"/>
      <c r="S261" s="46"/>
      <c r="T261" s="46"/>
      <c r="U261" s="46"/>
      <c r="V261" s="46"/>
      <c r="W261" s="46"/>
      <c r="X261" s="46"/>
      <c r="Y261" s="46"/>
    </row>
    <row r="262" spans="1:25" hidden="1" outlineLevel="1">
      <c r="A262" s="9"/>
      <c r="B262" s="9"/>
      <c r="C262" s="539"/>
      <c r="D262" s="87">
        <v>2</v>
      </c>
      <c r="E262" s="256">
        <f ca="1">OFFSET('Actual RAB roll forward'!H$30,0,D262-1)-SUM('Actual RAB roll forward'!H281:OFFSET('Actual RAB roll forward'!H281,0,Input!$Y$7-1))</f>
        <v>0</v>
      </c>
      <c r="F262" s="256">
        <f>IF(A19stdlife="N/A",0,IF(E262=0,0,A19stdlife+D262-Input!$Y$7))</f>
        <v>0</v>
      </c>
      <c r="G262" s="257"/>
      <c r="H262" s="256"/>
      <c r="I262" s="256"/>
      <c r="J262" s="256"/>
      <c r="K262" s="256"/>
      <c r="L262" s="256"/>
      <c r="M262" s="9"/>
      <c r="N262" s="9"/>
      <c r="O262" s="9"/>
      <c r="P262" s="9"/>
      <c r="Q262" s="9"/>
      <c r="R262" s="46"/>
      <c r="S262" s="46"/>
      <c r="T262" s="46"/>
      <c r="U262" s="46"/>
      <c r="V262" s="46"/>
      <c r="W262" s="46"/>
      <c r="X262" s="46"/>
      <c r="Y262" s="46"/>
    </row>
    <row r="263" spans="1:25" hidden="1" outlineLevel="1">
      <c r="A263" s="9"/>
      <c r="B263" s="9"/>
      <c r="C263" s="539"/>
      <c r="D263" s="87">
        <v>3</v>
      </c>
      <c r="E263" s="256">
        <f ca="1">OFFSET('Actual RAB roll forward'!H$30,0,D263-1)-SUM('Actual RAB roll forward'!H282:OFFSET('Actual RAB roll forward'!H282,0,Input!$Y$7-1))</f>
        <v>0</v>
      </c>
      <c r="F263" s="256">
        <f>IF(A19stdlife="N/A",0,IF(E263=0,0,A19stdlife+D263-Input!$Y$7))</f>
        <v>0</v>
      </c>
      <c r="G263" s="257"/>
      <c r="H263" s="256"/>
      <c r="I263" s="256"/>
      <c r="J263" s="256"/>
      <c r="K263" s="256"/>
      <c r="L263" s="256"/>
      <c r="M263" s="9"/>
      <c r="N263" s="9"/>
      <c r="O263" s="9"/>
      <c r="P263" s="9"/>
      <c r="Q263" s="9"/>
      <c r="R263" s="46"/>
      <c r="S263" s="46"/>
      <c r="T263" s="46"/>
      <c r="U263" s="46"/>
      <c r="V263" s="46"/>
      <c r="W263" s="46"/>
      <c r="X263" s="46"/>
      <c r="Y263" s="46"/>
    </row>
    <row r="264" spans="1:25" hidden="1" outlineLevel="1">
      <c r="A264" s="9"/>
      <c r="B264" s="9"/>
      <c r="C264" s="539"/>
      <c r="D264" s="87">
        <v>4</v>
      </c>
      <c r="E264" s="256">
        <f ca="1">OFFSET('Actual RAB roll forward'!H$30,0,D264-1)-SUM('Actual RAB roll forward'!H283:OFFSET('Actual RAB roll forward'!H283,0,Input!$Y$7-1))</f>
        <v>0</v>
      </c>
      <c r="F264" s="256">
        <f>IF(A19stdlife="N/A",0,IF(E264=0,0,A19stdlife+D264-Input!$Y$7))</f>
        <v>0</v>
      </c>
      <c r="G264" s="257"/>
      <c r="H264" s="256"/>
      <c r="I264" s="256"/>
      <c r="J264" s="256"/>
      <c r="K264" s="256"/>
      <c r="L264" s="256"/>
      <c r="M264" s="9"/>
      <c r="N264" s="9"/>
      <c r="O264" s="9"/>
      <c r="P264" s="9"/>
      <c r="Q264" s="9"/>
      <c r="R264" s="46"/>
      <c r="S264" s="46"/>
      <c r="T264" s="46"/>
      <c r="U264" s="46"/>
      <c r="V264" s="46"/>
      <c r="W264" s="46"/>
      <c r="X264" s="46"/>
      <c r="Y264" s="46"/>
    </row>
    <row r="265" spans="1:25" hidden="1" outlineLevel="1">
      <c r="A265" s="9"/>
      <c r="B265" s="9"/>
      <c r="C265" s="539"/>
      <c r="D265" s="87">
        <v>5</v>
      </c>
      <c r="E265" s="256">
        <f ca="1">OFFSET('Actual RAB roll forward'!H$30,0,D265-1)-SUM('Actual RAB roll forward'!H284:OFFSET('Actual RAB roll forward'!H284,0,Input!$Y$7-1))</f>
        <v>0</v>
      </c>
      <c r="F265" s="256">
        <f>IF(A19stdlife="N/A",0,IF(E265=0,0,A19stdlife+D265-Input!$Y$7))</f>
        <v>0</v>
      </c>
      <c r="G265" s="257"/>
      <c r="H265" s="256"/>
      <c r="I265" s="256"/>
      <c r="J265" s="256"/>
      <c r="K265" s="256"/>
      <c r="L265" s="256"/>
      <c r="M265" s="9"/>
      <c r="N265" s="9"/>
      <c r="O265" s="9"/>
      <c r="P265" s="9"/>
      <c r="Q265" s="9"/>
      <c r="R265" s="46"/>
      <c r="S265" s="46"/>
      <c r="T265" s="46"/>
      <c r="U265" s="46"/>
      <c r="V265" s="46"/>
      <c r="W265" s="46"/>
      <c r="X265" s="46"/>
      <c r="Y265" s="46"/>
    </row>
    <row r="266" spans="1:25" hidden="1" outlineLevel="1">
      <c r="A266" s="9"/>
      <c r="B266" s="9"/>
      <c r="C266" s="539"/>
      <c r="D266" s="87">
        <v>6</v>
      </c>
      <c r="E266" s="256">
        <f ca="1">OFFSET('Actual RAB roll forward'!H$30,0,D266-1)-SUM('Actual RAB roll forward'!H285:OFFSET('Actual RAB roll forward'!H285,0,Input!$Y$7-1))</f>
        <v>0</v>
      </c>
      <c r="F266" s="256">
        <f>IF(A19stdlife="N/A",0,IF(E266=0,0,A19stdlife+D266-Input!$Y$7))</f>
        <v>0</v>
      </c>
      <c r="G266" s="257"/>
      <c r="H266" s="256"/>
      <c r="I266" s="256"/>
      <c r="J266" s="256"/>
      <c r="K266" s="256"/>
      <c r="L266" s="256"/>
      <c r="M266" s="9"/>
      <c r="N266" s="9"/>
      <c r="O266" s="9"/>
      <c r="P266" s="9"/>
      <c r="Q266" s="9"/>
      <c r="R266" s="46"/>
      <c r="S266" s="46"/>
      <c r="T266" s="46"/>
      <c r="U266" s="46"/>
      <c r="V266" s="46"/>
      <c r="W266" s="46"/>
      <c r="X266" s="46"/>
      <c r="Y266" s="46"/>
    </row>
    <row r="267" spans="1:25" hidden="1" outlineLevel="1">
      <c r="A267" s="9"/>
      <c r="B267" s="9"/>
      <c r="C267" s="539"/>
      <c r="D267" s="87">
        <v>7</v>
      </c>
      <c r="E267" s="256">
        <f ca="1">OFFSET('Actual RAB roll forward'!H$30,0,D267-1)-SUM('Actual RAB roll forward'!H286:OFFSET('Actual RAB roll forward'!H286,0,Input!$Y$7-1))</f>
        <v>0</v>
      </c>
      <c r="F267" s="256">
        <f>IF(A19stdlife="N/A",0,IF(E267=0,0,A19stdlife+D267-Input!$Y$7))</f>
        <v>0</v>
      </c>
      <c r="G267" s="257"/>
      <c r="H267" s="256"/>
      <c r="I267" s="256"/>
      <c r="J267" s="256"/>
      <c r="K267" s="256"/>
      <c r="L267" s="256"/>
      <c r="M267" s="9"/>
      <c r="N267" s="9"/>
      <c r="O267" s="9"/>
      <c r="P267" s="9"/>
      <c r="Q267" s="9"/>
      <c r="R267" s="46"/>
      <c r="S267" s="46"/>
      <c r="T267" s="46"/>
      <c r="U267" s="46"/>
      <c r="V267" s="46"/>
      <c r="W267" s="46"/>
      <c r="X267" s="46"/>
      <c r="Y267" s="46"/>
    </row>
    <row r="268" spans="1:25" hidden="1" outlineLevel="1">
      <c r="A268" s="9"/>
      <c r="B268" s="9"/>
      <c r="C268" s="539"/>
      <c r="D268" s="87">
        <v>8</v>
      </c>
      <c r="E268" s="256">
        <f ca="1">OFFSET('Actual RAB roll forward'!H$30,0,D268-1)-SUM('Actual RAB roll forward'!H287:OFFSET('Actual RAB roll forward'!H287,0,Input!$Y$7-1))</f>
        <v>0</v>
      </c>
      <c r="F268" s="256">
        <f>IF(A19stdlife="N/A",0,IF(E268=0,0,A19stdlife+D268-Input!$Y$7))</f>
        <v>0</v>
      </c>
      <c r="G268" s="257"/>
      <c r="H268" s="256"/>
      <c r="I268" s="256"/>
      <c r="J268" s="256"/>
      <c r="K268" s="256"/>
      <c r="L268" s="256"/>
      <c r="M268" s="9"/>
      <c r="N268" s="9"/>
      <c r="O268" s="9"/>
      <c r="P268" s="9"/>
      <c r="Q268" s="9"/>
      <c r="R268" s="46"/>
      <c r="S268" s="46"/>
      <c r="T268" s="46"/>
      <c r="U268" s="46"/>
      <c r="V268" s="46"/>
      <c r="W268" s="46"/>
      <c r="X268" s="46"/>
      <c r="Y268" s="46"/>
    </row>
    <row r="269" spans="1:25" hidden="1" outlineLevel="1">
      <c r="A269" s="9"/>
      <c r="B269" s="9"/>
      <c r="C269" s="539"/>
      <c r="D269" s="87">
        <v>9</v>
      </c>
      <c r="E269" s="256">
        <f ca="1">OFFSET('Actual RAB roll forward'!H$30,0,D269-1)-SUM('Actual RAB roll forward'!H288:OFFSET('Actual RAB roll forward'!H288,0,Input!$Y$7-1))</f>
        <v>0</v>
      </c>
      <c r="F269" s="256">
        <f>IF(A19stdlife="N/A",0,IF(E269=0,0,A19stdlife+D269-Input!$Y$7))</f>
        <v>0</v>
      </c>
      <c r="G269" s="257"/>
      <c r="H269" s="256"/>
      <c r="I269" s="256"/>
      <c r="J269" s="256"/>
      <c r="K269" s="256"/>
      <c r="L269" s="256"/>
      <c r="M269" s="9"/>
      <c r="N269" s="9"/>
      <c r="O269" s="9"/>
      <c r="P269" s="9"/>
      <c r="Q269" s="9"/>
      <c r="R269" s="46"/>
      <c r="S269" s="46"/>
      <c r="T269" s="46"/>
      <c r="U269" s="46"/>
      <c r="V269" s="46"/>
      <c r="W269" s="46"/>
      <c r="X269" s="46"/>
      <c r="Y269" s="46"/>
    </row>
    <row r="270" spans="1:25" hidden="1" outlineLevel="1">
      <c r="A270" s="9"/>
      <c r="B270" s="9"/>
      <c r="C270" s="540"/>
      <c r="D270" s="88">
        <v>10</v>
      </c>
      <c r="E270" s="256">
        <f ca="1">OFFSET('Actual RAB roll forward'!H$30,0,D270-1)-SUM('Actual RAB roll forward'!H289:OFFSET('Actual RAB roll forward'!H289,0,Input!$Y$7-1))</f>
        <v>0</v>
      </c>
      <c r="F270" s="256">
        <f>IF(A19stdlife="N/A",0,IF(E270=0,0,A19stdlife+D270-Input!$Y$7))</f>
        <v>0</v>
      </c>
      <c r="G270" s="257"/>
      <c r="H270" s="256"/>
      <c r="I270" s="256"/>
      <c r="J270" s="256"/>
      <c r="K270" s="256"/>
      <c r="L270" s="256"/>
      <c r="M270" s="9"/>
      <c r="N270" s="9"/>
      <c r="O270" s="9"/>
      <c r="P270" s="9"/>
      <c r="Q270" s="9"/>
      <c r="R270" s="46"/>
      <c r="S270" s="46"/>
      <c r="T270" s="46"/>
      <c r="U270" s="46"/>
      <c r="V270" s="46"/>
      <c r="W270" s="46"/>
      <c r="X270" s="46"/>
      <c r="Y270" s="46"/>
    </row>
    <row r="271" spans="1:25" collapsed="1">
      <c r="A271" s="9"/>
      <c r="B271" s="9"/>
      <c r="C271" s="264">
        <f>Asset19</f>
        <v>0</v>
      </c>
      <c r="D271" s="9"/>
      <c r="E271" s="256">
        <f ca="1">SUM(E260:E270)</f>
        <v>0</v>
      </c>
      <c r="F271" s="256"/>
      <c r="G271" s="257"/>
      <c r="H271" s="256"/>
      <c r="I271" s="256"/>
      <c r="J271" s="256"/>
      <c r="K271" s="256"/>
      <c r="L271" s="256"/>
      <c r="M271" s="9"/>
      <c r="N271" s="9"/>
      <c r="O271" s="9"/>
      <c r="P271" s="9"/>
      <c r="Q271" s="9"/>
      <c r="R271" s="46"/>
      <c r="S271" s="46"/>
      <c r="T271" s="46"/>
      <c r="U271" s="46"/>
      <c r="V271" s="46"/>
      <c r="W271" s="46"/>
      <c r="X271" s="46"/>
      <c r="Y271" s="46"/>
    </row>
    <row r="272" spans="1:25" hidden="1" outlineLevel="1">
      <c r="A272" s="9"/>
      <c r="B272" s="9"/>
      <c r="C272" s="264"/>
      <c r="D272" s="9"/>
      <c r="E272" s="256"/>
      <c r="F272" s="256"/>
      <c r="G272" s="257"/>
      <c r="H272" s="256"/>
      <c r="I272" s="256"/>
      <c r="J272" s="256"/>
      <c r="K272" s="256"/>
      <c r="L272" s="256"/>
      <c r="M272" s="9"/>
      <c r="N272" s="9"/>
      <c r="O272" s="9"/>
      <c r="P272" s="9"/>
      <c r="Q272" s="9"/>
      <c r="R272" s="46"/>
      <c r="S272" s="46"/>
      <c r="T272" s="46"/>
      <c r="U272" s="46"/>
      <c r="V272" s="46"/>
      <c r="W272" s="46"/>
      <c r="X272" s="46"/>
      <c r="Y272" s="46"/>
    </row>
    <row r="273" spans="1:25" hidden="1" outlineLevel="1">
      <c r="A273" s="9"/>
      <c r="B273" s="255">
        <f>Asset20</f>
        <v>0</v>
      </c>
      <c r="C273" s="9"/>
      <c r="D273" s="9"/>
      <c r="E273" s="37"/>
      <c r="F273" s="37"/>
      <c r="G273" s="257"/>
      <c r="H273" s="37"/>
      <c r="I273" s="37"/>
      <c r="J273" s="37"/>
      <c r="K273" s="37"/>
      <c r="L273" s="37"/>
      <c r="M273" s="9"/>
      <c r="N273" s="9"/>
      <c r="O273" s="9"/>
      <c r="P273" s="9"/>
      <c r="Q273" s="9"/>
      <c r="R273" s="46"/>
      <c r="S273" s="46"/>
      <c r="T273" s="46"/>
      <c r="U273" s="46"/>
      <c r="V273" s="46"/>
      <c r="W273" s="46"/>
      <c r="X273" s="46"/>
      <c r="Y273" s="46"/>
    </row>
    <row r="274" spans="1:25" ht="12.75" hidden="1" customHeight="1" outlineLevel="1">
      <c r="A274" s="9"/>
      <c r="B274" s="9"/>
      <c r="C274" s="541" t="s">
        <v>28</v>
      </c>
      <c r="D274" s="542"/>
      <c r="E274" s="256">
        <f ca="1">A20value-SUM('Actual RAB roll forward'!H291:OFFSET('Actual RAB roll forward'!H291,0,Input!$Y$7-1))</f>
        <v>0</v>
      </c>
      <c r="F274" s="256">
        <f>IF(A20remlife="N/A",0,A20remlife-Input!$Y$7)</f>
        <v>0</v>
      </c>
      <c r="G274" s="257"/>
      <c r="H274" s="256"/>
      <c r="I274" s="256"/>
      <c r="J274" s="256"/>
      <c r="K274" s="256"/>
      <c r="L274" s="256"/>
      <c r="M274" s="9"/>
      <c r="N274" s="9"/>
      <c r="O274" s="9"/>
      <c r="P274" s="9"/>
      <c r="Q274" s="9"/>
      <c r="R274" s="46"/>
      <c r="S274" s="46"/>
      <c r="T274" s="46"/>
      <c r="U274" s="46"/>
      <c r="V274" s="46"/>
      <c r="W274" s="46"/>
      <c r="X274" s="46"/>
      <c r="Y274" s="46"/>
    </row>
    <row r="275" spans="1:25" ht="12.75" hidden="1" customHeight="1" outlineLevel="1">
      <c r="A275" s="9"/>
      <c r="B275" s="9"/>
      <c r="C275" s="538" t="s">
        <v>86</v>
      </c>
      <c r="D275" s="87">
        <v>1</v>
      </c>
      <c r="E275" s="256">
        <f ca="1">OFFSET('Actual RAB roll forward'!H$31,0,D275-1)-SUM('Actual RAB roll forward'!H293:OFFSET('Actual RAB roll forward'!H293,0,Input!$Y$7-1))</f>
        <v>0</v>
      </c>
      <c r="F275" s="256">
        <f>IF(A20stdlife="N/A",0,IF(E275=0,0,A20stdlife+D275-Input!$Y$7))</f>
        <v>0</v>
      </c>
      <c r="G275" s="257"/>
      <c r="H275" s="256"/>
      <c r="I275" s="256"/>
      <c r="J275" s="256"/>
      <c r="K275" s="256"/>
      <c r="L275" s="256"/>
      <c r="M275" s="9"/>
      <c r="N275" s="9"/>
      <c r="O275" s="9"/>
      <c r="P275" s="9"/>
      <c r="Q275" s="9"/>
      <c r="R275" s="46"/>
      <c r="S275" s="46"/>
      <c r="T275" s="46"/>
      <c r="U275" s="46"/>
      <c r="V275" s="46"/>
      <c r="W275" s="46"/>
      <c r="X275" s="46"/>
      <c r="Y275" s="46"/>
    </row>
    <row r="276" spans="1:25" hidden="1" outlineLevel="1">
      <c r="A276" s="9"/>
      <c r="B276" s="9"/>
      <c r="C276" s="539"/>
      <c r="D276" s="87">
        <v>2</v>
      </c>
      <c r="E276" s="256">
        <f ca="1">OFFSET('Actual RAB roll forward'!H$31,0,D276-1)-SUM('Actual RAB roll forward'!H294:OFFSET('Actual RAB roll forward'!H294,0,Input!$Y$7-1))</f>
        <v>0</v>
      </c>
      <c r="F276" s="256">
        <f>IF(A20stdlife="N/A",0,IF(E276=0,0,A20stdlife+D276-Input!$Y$7))</f>
        <v>0</v>
      </c>
      <c r="G276" s="257"/>
      <c r="H276" s="256"/>
      <c r="I276" s="256"/>
      <c r="J276" s="256"/>
      <c r="K276" s="256"/>
      <c r="L276" s="256"/>
      <c r="M276" s="9"/>
      <c r="N276" s="9"/>
      <c r="O276" s="9"/>
      <c r="P276" s="9"/>
      <c r="Q276" s="9"/>
      <c r="R276" s="46"/>
      <c r="S276" s="46"/>
      <c r="T276" s="46"/>
      <c r="U276" s="46"/>
      <c r="V276" s="46"/>
      <c r="W276" s="46"/>
      <c r="X276" s="46"/>
      <c r="Y276" s="46"/>
    </row>
    <row r="277" spans="1:25" hidden="1" outlineLevel="1">
      <c r="A277" s="9"/>
      <c r="B277" s="9"/>
      <c r="C277" s="539"/>
      <c r="D277" s="87">
        <v>3</v>
      </c>
      <c r="E277" s="256">
        <f ca="1">OFFSET('Actual RAB roll forward'!H$31,0,D277-1)-SUM('Actual RAB roll forward'!H295:OFFSET('Actual RAB roll forward'!H295,0,Input!$Y$7-1))</f>
        <v>0</v>
      </c>
      <c r="F277" s="256">
        <f>IF(A20stdlife="N/A",0,IF(E277=0,0,A20stdlife+D277-Input!$Y$7))</f>
        <v>0</v>
      </c>
      <c r="G277" s="257"/>
      <c r="H277" s="256"/>
      <c r="I277" s="256"/>
      <c r="J277" s="256"/>
      <c r="K277" s="256"/>
      <c r="L277" s="256"/>
      <c r="M277" s="9"/>
      <c r="N277" s="9"/>
      <c r="O277" s="9"/>
      <c r="P277" s="9"/>
      <c r="Q277" s="9"/>
      <c r="R277" s="46"/>
      <c r="S277" s="46"/>
      <c r="T277" s="46"/>
      <c r="U277" s="46"/>
      <c r="V277" s="46"/>
      <c r="W277" s="46"/>
      <c r="X277" s="46"/>
      <c r="Y277" s="46"/>
    </row>
    <row r="278" spans="1:25" hidden="1" outlineLevel="1">
      <c r="A278" s="9"/>
      <c r="B278" s="9"/>
      <c r="C278" s="539"/>
      <c r="D278" s="87">
        <v>4</v>
      </c>
      <c r="E278" s="256">
        <f ca="1">OFFSET('Actual RAB roll forward'!H$31,0,D278-1)-SUM('Actual RAB roll forward'!H296:OFFSET('Actual RAB roll forward'!H296,0,Input!$Y$7-1))</f>
        <v>0</v>
      </c>
      <c r="F278" s="256">
        <f>IF(A20stdlife="N/A",0,IF(E278=0,0,A20stdlife+D278-Input!$Y$7))</f>
        <v>0</v>
      </c>
      <c r="G278" s="257"/>
      <c r="H278" s="256"/>
      <c r="I278" s="256"/>
      <c r="J278" s="256"/>
      <c r="K278" s="256"/>
      <c r="L278" s="256"/>
      <c r="M278" s="9"/>
      <c r="N278" s="9"/>
      <c r="O278" s="9"/>
      <c r="P278" s="9"/>
      <c r="Q278" s="9"/>
      <c r="R278" s="46"/>
      <c r="S278" s="46"/>
      <c r="T278" s="46"/>
      <c r="U278" s="46"/>
      <c r="V278" s="46"/>
      <c r="W278" s="46"/>
      <c r="X278" s="46"/>
      <c r="Y278" s="46"/>
    </row>
    <row r="279" spans="1:25" hidden="1" outlineLevel="1">
      <c r="A279" s="9"/>
      <c r="B279" s="9"/>
      <c r="C279" s="539"/>
      <c r="D279" s="87">
        <v>5</v>
      </c>
      <c r="E279" s="256">
        <f ca="1">OFFSET('Actual RAB roll forward'!H$31,0,D279-1)-SUM('Actual RAB roll forward'!H297:OFFSET('Actual RAB roll forward'!H297,0,Input!$Y$7-1))</f>
        <v>0</v>
      </c>
      <c r="F279" s="256">
        <f>IF(A20stdlife="N/A",0,IF(E279=0,0,A20stdlife+D279-Input!$Y$7))</f>
        <v>0</v>
      </c>
      <c r="G279" s="257"/>
      <c r="H279" s="256"/>
      <c r="I279" s="256"/>
      <c r="J279" s="256"/>
      <c r="K279" s="256"/>
      <c r="L279" s="256"/>
      <c r="M279" s="9"/>
      <c r="N279" s="9"/>
      <c r="O279" s="9"/>
      <c r="P279" s="9"/>
      <c r="Q279" s="9"/>
      <c r="R279" s="46"/>
      <c r="S279" s="46"/>
      <c r="T279" s="46"/>
      <c r="U279" s="46"/>
      <c r="V279" s="46"/>
      <c r="W279" s="46"/>
      <c r="X279" s="46"/>
      <c r="Y279" s="46"/>
    </row>
    <row r="280" spans="1:25" hidden="1" outlineLevel="1">
      <c r="A280" s="9"/>
      <c r="B280" s="9"/>
      <c r="C280" s="539"/>
      <c r="D280" s="87">
        <v>6</v>
      </c>
      <c r="E280" s="256">
        <f ca="1">OFFSET('Actual RAB roll forward'!H$31,0,D280-1)-SUM('Actual RAB roll forward'!H298:OFFSET('Actual RAB roll forward'!H298,0,Input!$Y$7-1))</f>
        <v>0</v>
      </c>
      <c r="F280" s="256">
        <f>IF(A20stdlife="N/A",0,IF(E280=0,0,A20stdlife+D280-Input!$Y$7))</f>
        <v>0</v>
      </c>
      <c r="G280" s="257"/>
      <c r="H280" s="256"/>
      <c r="I280" s="256"/>
      <c r="J280" s="256"/>
      <c r="K280" s="256"/>
      <c r="L280" s="256"/>
      <c r="M280" s="9"/>
      <c r="N280" s="9"/>
      <c r="O280" s="9"/>
      <c r="P280" s="9"/>
      <c r="Q280" s="9"/>
      <c r="R280" s="46"/>
      <c r="S280" s="46"/>
      <c r="T280" s="46"/>
      <c r="U280" s="46"/>
      <c r="V280" s="46"/>
      <c r="W280" s="46"/>
      <c r="X280" s="46"/>
      <c r="Y280" s="46"/>
    </row>
    <row r="281" spans="1:25" hidden="1" outlineLevel="1">
      <c r="A281" s="9"/>
      <c r="B281" s="9"/>
      <c r="C281" s="539"/>
      <c r="D281" s="87">
        <v>7</v>
      </c>
      <c r="E281" s="256">
        <f ca="1">OFFSET('Actual RAB roll forward'!H$31,0,D281-1)-SUM('Actual RAB roll forward'!H299:OFFSET('Actual RAB roll forward'!H299,0,Input!$Y$7-1))</f>
        <v>0</v>
      </c>
      <c r="F281" s="256">
        <f>IF(A20stdlife="N/A",0,IF(E281=0,0,A20stdlife+D281-Input!$Y$7))</f>
        <v>0</v>
      </c>
      <c r="G281" s="257"/>
      <c r="H281" s="256"/>
      <c r="I281" s="256"/>
      <c r="J281" s="256"/>
      <c r="K281" s="256"/>
      <c r="L281" s="256"/>
      <c r="M281" s="9"/>
      <c r="N281" s="9"/>
      <c r="O281" s="9"/>
      <c r="P281" s="9"/>
      <c r="Q281" s="9"/>
      <c r="R281" s="46"/>
      <c r="S281" s="46"/>
      <c r="T281" s="46"/>
      <c r="U281" s="46"/>
      <c r="V281" s="46"/>
      <c r="W281" s="46"/>
      <c r="X281" s="46"/>
      <c r="Y281" s="46"/>
    </row>
    <row r="282" spans="1:25" hidden="1" outlineLevel="1">
      <c r="A282" s="9"/>
      <c r="B282" s="9"/>
      <c r="C282" s="539"/>
      <c r="D282" s="87">
        <v>8</v>
      </c>
      <c r="E282" s="256">
        <f ca="1">OFFSET('Actual RAB roll forward'!H$31,0,D282-1)-SUM('Actual RAB roll forward'!H300:OFFSET('Actual RAB roll forward'!H300,0,Input!$Y$7-1))</f>
        <v>0</v>
      </c>
      <c r="F282" s="256">
        <f>IF(A20stdlife="N/A",0,IF(E282=0,0,A20stdlife+D282-Input!$Y$7))</f>
        <v>0</v>
      </c>
      <c r="G282" s="257"/>
      <c r="H282" s="256"/>
      <c r="I282" s="256"/>
      <c r="J282" s="256"/>
      <c r="K282" s="256"/>
      <c r="L282" s="256"/>
      <c r="M282" s="9"/>
      <c r="N282" s="9"/>
      <c r="O282" s="9"/>
      <c r="P282" s="9"/>
      <c r="Q282" s="9"/>
      <c r="R282" s="46"/>
      <c r="S282" s="46"/>
      <c r="T282" s="46"/>
      <c r="U282" s="46"/>
      <c r="V282" s="46"/>
      <c r="W282" s="46"/>
      <c r="X282" s="46"/>
      <c r="Y282" s="46"/>
    </row>
    <row r="283" spans="1:25" hidden="1" outlineLevel="1">
      <c r="A283" s="9"/>
      <c r="B283" s="9"/>
      <c r="C283" s="539"/>
      <c r="D283" s="87">
        <v>9</v>
      </c>
      <c r="E283" s="256">
        <f ca="1">OFFSET('Actual RAB roll forward'!H$31,0,D283-1)-SUM('Actual RAB roll forward'!H301:OFFSET('Actual RAB roll forward'!H301,0,Input!$Y$7-1))</f>
        <v>0</v>
      </c>
      <c r="F283" s="256">
        <f>IF(A20stdlife="N/A",0,IF(E283=0,0,A20stdlife+D283-Input!$Y$7))</f>
        <v>0</v>
      </c>
      <c r="G283" s="257"/>
      <c r="H283" s="256"/>
      <c r="I283" s="256"/>
      <c r="J283" s="256"/>
      <c r="K283" s="256"/>
      <c r="L283" s="256"/>
      <c r="M283" s="9"/>
      <c r="N283" s="9"/>
      <c r="O283" s="9"/>
      <c r="P283" s="9"/>
      <c r="Q283" s="9"/>
      <c r="R283" s="46"/>
      <c r="S283" s="46"/>
      <c r="T283" s="46"/>
      <c r="U283" s="46"/>
      <c r="V283" s="46"/>
      <c r="W283" s="46"/>
      <c r="X283" s="46"/>
      <c r="Y283" s="46"/>
    </row>
    <row r="284" spans="1:25" hidden="1" outlineLevel="1">
      <c r="A284" s="9"/>
      <c r="B284" s="9"/>
      <c r="C284" s="540"/>
      <c r="D284" s="88">
        <v>10</v>
      </c>
      <c r="E284" s="256">
        <f ca="1">OFFSET('Actual RAB roll forward'!H$31,0,D284-1)-SUM('Actual RAB roll forward'!H302:OFFSET('Actual RAB roll forward'!H302,0,Input!$Y$7-1))</f>
        <v>0</v>
      </c>
      <c r="F284" s="256">
        <f>IF(A20stdlife="N/A",0,IF(E284=0,0,A20stdlife+D284-Input!$Y$7))</f>
        <v>0</v>
      </c>
      <c r="G284" s="257"/>
      <c r="H284" s="256"/>
      <c r="I284" s="256"/>
      <c r="J284" s="256"/>
      <c r="K284" s="256"/>
      <c r="L284" s="256"/>
      <c r="M284" s="9"/>
      <c r="N284" s="9"/>
      <c r="O284" s="9"/>
      <c r="P284" s="9"/>
      <c r="Q284" s="9"/>
      <c r="R284" s="46"/>
      <c r="S284" s="46"/>
      <c r="T284" s="46"/>
      <c r="U284" s="46"/>
      <c r="V284" s="46"/>
      <c r="W284" s="46"/>
      <c r="X284" s="46"/>
      <c r="Y284" s="46"/>
    </row>
    <row r="285" spans="1:25" collapsed="1">
      <c r="A285" s="9"/>
      <c r="C285" s="264">
        <f>Asset20</f>
        <v>0</v>
      </c>
      <c r="D285" s="9"/>
      <c r="E285" s="256">
        <f ca="1">SUM(E274:E284)</f>
        <v>0</v>
      </c>
      <c r="F285" s="256"/>
      <c r="G285" s="257"/>
      <c r="H285" s="256"/>
      <c r="I285" s="256"/>
      <c r="J285" s="256"/>
      <c r="K285" s="256"/>
      <c r="L285" s="256"/>
      <c r="M285" s="9"/>
      <c r="N285" s="9"/>
      <c r="O285" s="9"/>
      <c r="P285" s="9"/>
      <c r="Q285" s="9"/>
      <c r="R285" s="46"/>
      <c r="S285" s="46"/>
      <c r="T285" s="46"/>
      <c r="U285" s="46"/>
      <c r="V285" s="46"/>
      <c r="W285" s="46"/>
      <c r="X285" s="46"/>
      <c r="Y285" s="46"/>
    </row>
    <row r="286" spans="1:25" hidden="1" outlineLevel="1">
      <c r="A286" s="9"/>
      <c r="B286" s="255"/>
      <c r="C286" s="9"/>
      <c r="D286" s="9"/>
      <c r="E286" s="37"/>
      <c r="F286" s="37"/>
      <c r="G286" s="257"/>
      <c r="H286" s="37"/>
      <c r="I286" s="37"/>
      <c r="J286" s="37"/>
      <c r="K286" s="37"/>
      <c r="L286" s="37"/>
      <c r="M286" s="9"/>
      <c r="N286" s="9"/>
      <c r="O286" s="9"/>
      <c r="P286" s="9"/>
      <c r="Q286" s="9"/>
      <c r="R286" s="46"/>
      <c r="S286" s="46"/>
      <c r="T286" s="46"/>
      <c r="U286" s="46"/>
      <c r="V286" s="46"/>
      <c r="W286" s="46"/>
      <c r="X286" s="46"/>
      <c r="Y286" s="46"/>
    </row>
    <row r="287" spans="1:25" hidden="1" outlineLevel="1">
      <c r="A287" s="9"/>
      <c r="B287" s="255">
        <f>Asset21</f>
        <v>0</v>
      </c>
      <c r="C287" s="9"/>
      <c r="D287" s="9"/>
      <c r="E287" s="37"/>
      <c r="F287" s="37"/>
      <c r="G287" s="257"/>
      <c r="H287" s="37"/>
      <c r="I287" s="37"/>
      <c r="J287" s="37"/>
      <c r="K287" s="37"/>
      <c r="L287" s="37"/>
      <c r="M287" s="9"/>
      <c r="N287" s="9"/>
      <c r="O287" s="9"/>
      <c r="P287" s="9"/>
      <c r="Q287" s="9"/>
      <c r="R287" s="46"/>
      <c r="S287" s="46"/>
      <c r="T287" s="46"/>
      <c r="U287" s="46"/>
      <c r="V287" s="46"/>
      <c r="W287" s="46"/>
      <c r="X287" s="46"/>
      <c r="Y287" s="46"/>
    </row>
    <row r="288" spans="1:25" ht="12.75" hidden="1" customHeight="1" outlineLevel="1">
      <c r="A288" s="9"/>
      <c r="B288" s="9"/>
      <c r="C288" s="541" t="s">
        <v>28</v>
      </c>
      <c r="D288" s="542"/>
      <c r="E288" s="256">
        <f ca="1">A21value-SUM('Actual RAB roll forward'!H304:OFFSET('Actual RAB roll forward'!H304,0,Input!$Y$7-1))</f>
        <v>0</v>
      </c>
      <c r="F288" s="256">
        <f>IF(A21remlife="N/A",0,A21remlife-Input!$Y$7)</f>
        <v>0</v>
      </c>
      <c r="G288" s="257"/>
      <c r="H288" s="256"/>
      <c r="I288" s="256"/>
      <c r="J288" s="256"/>
      <c r="K288" s="256"/>
      <c r="L288" s="256"/>
      <c r="M288" s="9"/>
      <c r="N288" s="9"/>
      <c r="O288" s="9"/>
      <c r="P288" s="9"/>
      <c r="Q288" s="9"/>
      <c r="R288" s="46"/>
      <c r="S288" s="46"/>
      <c r="T288" s="46"/>
      <c r="U288" s="46"/>
      <c r="V288" s="46"/>
      <c r="W288" s="46"/>
      <c r="X288" s="46"/>
      <c r="Y288" s="46"/>
    </row>
    <row r="289" spans="1:25" ht="12.75" hidden="1" customHeight="1" outlineLevel="1">
      <c r="A289" s="9"/>
      <c r="B289" s="9"/>
      <c r="C289" s="538" t="s">
        <v>86</v>
      </c>
      <c r="D289" s="87">
        <v>1</v>
      </c>
      <c r="E289" s="256">
        <f ca="1">OFFSET('Actual RAB roll forward'!H$32,0,D289-1)-SUM('Actual RAB roll forward'!H306:OFFSET('Actual RAB roll forward'!H306,0,Input!$Y$7-1))</f>
        <v>0</v>
      </c>
      <c r="F289" s="256">
        <f>IF(A21stdlife="N/A",0,IF(E289=0,0,A21stdlife+D289-Input!$Y$7))</f>
        <v>0</v>
      </c>
      <c r="G289" s="257"/>
      <c r="H289" s="256"/>
      <c r="I289" s="256"/>
      <c r="J289" s="256"/>
      <c r="K289" s="256"/>
      <c r="L289" s="256"/>
      <c r="M289" s="9"/>
      <c r="N289" s="9"/>
      <c r="O289" s="9"/>
      <c r="P289" s="9"/>
      <c r="Q289" s="9"/>
      <c r="R289" s="46"/>
      <c r="S289" s="46"/>
      <c r="T289" s="46"/>
      <c r="U289" s="46"/>
      <c r="V289" s="46"/>
      <c r="W289" s="46"/>
      <c r="X289" s="46"/>
      <c r="Y289" s="46"/>
    </row>
    <row r="290" spans="1:25" hidden="1" outlineLevel="1">
      <c r="A290" s="9"/>
      <c r="B290" s="9"/>
      <c r="C290" s="539"/>
      <c r="D290" s="87">
        <v>2</v>
      </c>
      <c r="E290" s="256">
        <f ca="1">OFFSET('Actual RAB roll forward'!H$32,0,D290-1)-SUM('Actual RAB roll forward'!H307:OFFSET('Actual RAB roll forward'!H307,0,Input!$Y$7-1))</f>
        <v>0</v>
      </c>
      <c r="F290" s="256">
        <f>IF(A21stdlife="N/A",0,IF(E290=0,0,A21stdlife+D290-Input!$Y$7))</f>
        <v>0</v>
      </c>
      <c r="G290" s="257"/>
      <c r="H290" s="256"/>
      <c r="I290" s="256"/>
      <c r="J290" s="256"/>
      <c r="K290" s="256"/>
      <c r="L290" s="256"/>
      <c r="M290" s="9"/>
      <c r="N290" s="9"/>
      <c r="O290" s="9"/>
      <c r="P290" s="9"/>
      <c r="Q290" s="9"/>
      <c r="R290" s="46"/>
      <c r="S290" s="46"/>
      <c r="T290" s="46"/>
      <c r="U290" s="46"/>
      <c r="V290" s="46"/>
      <c r="W290" s="46"/>
      <c r="X290" s="46"/>
      <c r="Y290" s="46"/>
    </row>
    <row r="291" spans="1:25" hidden="1" outlineLevel="1">
      <c r="A291" s="9"/>
      <c r="B291" s="9"/>
      <c r="C291" s="539"/>
      <c r="D291" s="87">
        <v>3</v>
      </c>
      <c r="E291" s="256">
        <f ca="1">OFFSET('Actual RAB roll forward'!H$32,0,D291-1)-SUM('Actual RAB roll forward'!H308:OFFSET('Actual RAB roll forward'!H308,0,Input!$Y$7-1))</f>
        <v>0</v>
      </c>
      <c r="F291" s="256">
        <f>IF(A21stdlife="N/A",0,IF(E291=0,0,A21stdlife+D291-Input!$Y$7))</f>
        <v>0</v>
      </c>
      <c r="G291" s="257"/>
      <c r="H291" s="256"/>
      <c r="I291" s="256"/>
      <c r="J291" s="256"/>
      <c r="K291" s="256"/>
      <c r="L291" s="256"/>
      <c r="M291" s="9"/>
      <c r="N291" s="9"/>
      <c r="O291" s="9"/>
      <c r="P291" s="9"/>
      <c r="Q291" s="9"/>
      <c r="R291" s="46"/>
      <c r="S291" s="46"/>
      <c r="T291" s="46"/>
      <c r="U291" s="46"/>
      <c r="V291" s="46"/>
      <c r="W291" s="46"/>
      <c r="X291" s="46"/>
      <c r="Y291" s="46"/>
    </row>
    <row r="292" spans="1:25" hidden="1" outlineLevel="1">
      <c r="A292" s="9"/>
      <c r="B292" s="9"/>
      <c r="C292" s="539"/>
      <c r="D292" s="87">
        <v>4</v>
      </c>
      <c r="E292" s="256">
        <f ca="1">OFFSET('Actual RAB roll forward'!H$32,0,D292-1)-SUM('Actual RAB roll forward'!H309:OFFSET('Actual RAB roll forward'!H309,0,Input!$Y$7-1))</f>
        <v>0</v>
      </c>
      <c r="F292" s="256">
        <f>IF(A21stdlife="N/A",0,IF(E292=0,0,A21stdlife+D292-Input!$Y$7))</f>
        <v>0</v>
      </c>
      <c r="G292" s="257"/>
      <c r="H292" s="256"/>
      <c r="I292" s="256"/>
      <c r="J292" s="256"/>
      <c r="K292" s="256"/>
      <c r="L292" s="256"/>
      <c r="M292" s="9"/>
      <c r="N292" s="9"/>
      <c r="O292" s="9"/>
      <c r="P292" s="9"/>
      <c r="Q292" s="9"/>
      <c r="R292" s="46"/>
      <c r="S292" s="46"/>
      <c r="T292" s="46"/>
      <c r="U292" s="46"/>
      <c r="V292" s="46"/>
      <c r="W292" s="46"/>
      <c r="X292" s="46"/>
      <c r="Y292" s="46"/>
    </row>
    <row r="293" spans="1:25" hidden="1" outlineLevel="1">
      <c r="A293" s="9"/>
      <c r="B293" s="9"/>
      <c r="C293" s="539"/>
      <c r="D293" s="87">
        <v>5</v>
      </c>
      <c r="E293" s="256">
        <f ca="1">OFFSET('Actual RAB roll forward'!H$32,0,D293-1)-SUM('Actual RAB roll forward'!H310:OFFSET('Actual RAB roll forward'!H310,0,Input!$Y$7-1))</f>
        <v>0</v>
      </c>
      <c r="F293" s="256">
        <f>IF(A21stdlife="N/A",0,IF(E293=0,0,A21stdlife+D293-Input!$Y$7))</f>
        <v>0</v>
      </c>
      <c r="G293" s="257"/>
      <c r="H293" s="256"/>
      <c r="I293" s="256"/>
      <c r="J293" s="256"/>
      <c r="K293" s="256"/>
      <c r="L293" s="256"/>
      <c r="M293" s="9"/>
      <c r="N293" s="9"/>
      <c r="O293" s="9"/>
      <c r="P293" s="9"/>
      <c r="Q293" s="9"/>
      <c r="R293" s="46"/>
      <c r="S293" s="46"/>
      <c r="T293" s="46"/>
      <c r="U293" s="46"/>
      <c r="V293" s="46"/>
      <c r="W293" s="46"/>
      <c r="X293" s="46"/>
      <c r="Y293" s="46"/>
    </row>
    <row r="294" spans="1:25" hidden="1" outlineLevel="1">
      <c r="A294" s="9"/>
      <c r="B294" s="9"/>
      <c r="C294" s="539"/>
      <c r="D294" s="87">
        <v>6</v>
      </c>
      <c r="E294" s="256">
        <f ca="1">OFFSET('Actual RAB roll forward'!H$32,0,D294-1)-SUM('Actual RAB roll forward'!H311:OFFSET('Actual RAB roll forward'!H311,0,Input!$Y$7-1))</f>
        <v>0</v>
      </c>
      <c r="F294" s="256">
        <f>IF(A21stdlife="N/A",0,IF(E294=0,0,A21stdlife+D294-Input!$Y$7))</f>
        <v>0</v>
      </c>
      <c r="G294" s="257"/>
      <c r="H294" s="256"/>
      <c r="I294" s="256"/>
      <c r="J294" s="256"/>
      <c r="K294" s="256"/>
      <c r="L294" s="256"/>
      <c r="M294" s="9"/>
      <c r="N294" s="9"/>
      <c r="O294" s="9"/>
      <c r="P294" s="9"/>
      <c r="Q294" s="9"/>
      <c r="R294" s="46"/>
      <c r="S294" s="46"/>
      <c r="T294" s="46"/>
      <c r="U294" s="46"/>
      <c r="V294" s="46"/>
      <c r="W294" s="46"/>
      <c r="X294" s="46"/>
      <c r="Y294" s="46"/>
    </row>
    <row r="295" spans="1:25" hidden="1" outlineLevel="1">
      <c r="A295" s="9"/>
      <c r="B295" s="9"/>
      <c r="C295" s="539"/>
      <c r="D295" s="87">
        <v>7</v>
      </c>
      <c r="E295" s="256">
        <f ca="1">OFFSET('Actual RAB roll forward'!H$32,0,D295-1)-SUM('Actual RAB roll forward'!H312:OFFSET('Actual RAB roll forward'!H312,0,Input!$Y$7-1))</f>
        <v>0</v>
      </c>
      <c r="F295" s="256">
        <f>IF(A21stdlife="N/A",0,IF(E295=0,0,A21stdlife+D295-Input!$Y$7))</f>
        <v>0</v>
      </c>
      <c r="G295" s="257"/>
      <c r="H295" s="256"/>
      <c r="I295" s="256"/>
      <c r="J295" s="256"/>
      <c r="K295" s="256"/>
      <c r="L295" s="256"/>
      <c r="M295" s="9"/>
      <c r="N295" s="9"/>
      <c r="O295" s="9"/>
      <c r="P295" s="9"/>
      <c r="Q295" s="9"/>
      <c r="R295" s="46"/>
      <c r="S295" s="46"/>
      <c r="T295" s="46"/>
      <c r="U295" s="46"/>
      <c r="V295" s="46"/>
      <c r="W295" s="46"/>
      <c r="X295" s="46"/>
      <c r="Y295" s="46"/>
    </row>
    <row r="296" spans="1:25" hidden="1" outlineLevel="1">
      <c r="A296" s="9"/>
      <c r="B296" s="9"/>
      <c r="C296" s="539"/>
      <c r="D296" s="87">
        <v>8</v>
      </c>
      <c r="E296" s="256">
        <f ca="1">OFFSET('Actual RAB roll forward'!H$32,0,D296-1)-SUM('Actual RAB roll forward'!H313:OFFSET('Actual RAB roll forward'!H313,0,Input!$Y$7-1))</f>
        <v>0</v>
      </c>
      <c r="F296" s="256">
        <f>IF(A21stdlife="N/A",0,IF(E296=0,0,A21stdlife+D296-Input!$Y$7))</f>
        <v>0</v>
      </c>
      <c r="G296" s="257"/>
      <c r="H296" s="256"/>
      <c r="I296" s="256"/>
      <c r="J296" s="256"/>
      <c r="K296" s="256"/>
      <c r="L296" s="256"/>
      <c r="M296" s="9"/>
      <c r="N296" s="9"/>
      <c r="O296" s="9"/>
      <c r="P296" s="9"/>
      <c r="Q296" s="9"/>
      <c r="R296" s="46"/>
      <c r="S296" s="46"/>
      <c r="T296" s="46"/>
      <c r="U296" s="46"/>
      <c r="V296" s="46"/>
      <c r="W296" s="46"/>
      <c r="X296" s="46"/>
      <c r="Y296" s="46"/>
    </row>
    <row r="297" spans="1:25" hidden="1" outlineLevel="1">
      <c r="A297" s="9"/>
      <c r="B297" s="9"/>
      <c r="C297" s="539"/>
      <c r="D297" s="87">
        <v>9</v>
      </c>
      <c r="E297" s="256">
        <f ca="1">OFFSET('Actual RAB roll forward'!H$32,0,D297-1)-SUM('Actual RAB roll forward'!H314:OFFSET('Actual RAB roll forward'!H314,0,Input!$Y$7-1))</f>
        <v>0</v>
      </c>
      <c r="F297" s="256">
        <f>IF(A21stdlife="N/A",0,IF(E297=0,0,A21stdlife+D297-Input!$Y$7))</f>
        <v>0</v>
      </c>
      <c r="G297" s="257"/>
      <c r="H297" s="256"/>
      <c r="I297" s="256"/>
      <c r="J297" s="256"/>
      <c r="K297" s="256"/>
      <c r="L297" s="256"/>
      <c r="M297" s="9"/>
      <c r="N297" s="9"/>
      <c r="O297" s="9"/>
      <c r="P297" s="9"/>
      <c r="Q297" s="9"/>
      <c r="R297" s="46"/>
      <c r="S297" s="46"/>
      <c r="T297" s="46"/>
      <c r="U297" s="46"/>
      <c r="V297" s="46"/>
      <c r="W297" s="46"/>
      <c r="X297" s="46"/>
      <c r="Y297" s="46"/>
    </row>
    <row r="298" spans="1:25" hidden="1" outlineLevel="1">
      <c r="A298" s="9"/>
      <c r="B298" s="9"/>
      <c r="C298" s="540"/>
      <c r="D298" s="88">
        <v>10</v>
      </c>
      <c r="E298" s="256">
        <f ca="1">OFFSET('Actual RAB roll forward'!H$32,0,D298-1)-SUM('Actual RAB roll forward'!H315:OFFSET('Actual RAB roll forward'!H315,0,Input!$Y$7-1))</f>
        <v>0</v>
      </c>
      <c r="F298" s="256">
        <f>IF(A21stdlife="N/A",0,IF(E298=0,0,A21stdlife+D298-Input!$Y$7))</f>
        <v>0</v>
      </c>
      <c r="G298" s="257"/>
      <c r="H298" s="256"/>
      <c r="I298" s="256"/>
      <c r="J298" s="256"/>
      <c r="K298" s="256"/>
      <c r="L298" s="256"/>
      <c r="M298" s="9"/>
      <c r="N298" s="9"/>
      <c r="O298" s="9"/>
      <c r="P298" s="9"/>
      <c r="Q298" s="9"/>
      <c r="R298" s="46"/>
      <c r="S298" s="46"/>
      <c r="T298" s="46"/>
      <c r="U298" s="46"/>
      <c r="V298" s="46"/>
      <c r="W298" s="46"/>
      <c r="X298" s="46"/>
      <c r="Y298" s="46"/>
    </row>
    <row r="299" spans="1:25" collapsed="1">
      <c r="A299" s="9"/>
      <c r="B299" s="9"/>
      <c r="C299" s="264">
        <f>Asset21</f>
        <v>0</v>
      </c>
      <c r="D299" s="9"/>
      <c r="E299" s="256">
        <f ca="1">SUM(E288:E298)</f>
        <v>0</v>
      </c>
      <c r="F299" s="256"/>
      <c r="G299" s="257"/>
      <c r="H299" s="256"/>
      <c r="I299" s="256"/>
      <c r="J299" s="256"/>
      <c r="K299" s="256"/>
      <c r="L299" s="256"/>
      <c r="M299" s="9"/>
      <c r="N299" s="9"/>
      <c r="O299" s="9"/>
      <c r="P299" s="9"/>
      <c r="Q299" s="9"/>
      <c r="R299" s="46"/>
      <c r="S299" s="46"/>
      <c r="T299" s="46"/>
      <c r="U299" s="46"/>
      <c r="V299" s="46"/>
      <c r="W299" s="46"/>
      <c r="X299" s="46"/>
      <c r="Y299" s="46"/>
    </row>
    <row r="300" spans="1:25" hidden="1" outlineLevel="1">
      <c r="A300" s="9"/>
      <c r="B300" s="255"/>
      <c r="C300" s="9"/>
      <c r="D300" s="9"/>
      <c r="E300" s="37"/>
      <c r="F300" s="37"/>
      <c r="G300" s="257"/>
      <c r="H300" s="37"/>
      <c r="I300" s="37"/>
      <c r="J300" s="37"/>
      <c r="K300" s="37"/>
      <c r="L300" s="37"/>
      <c r="M300" s="9"/>
      <c r="N300" s="9"/>
      <c r="O300" s="9"/>
      <c r="P300" s="9"/>
      <c r="Q300" s="9"/>
      <c r="R300" s="46"/>
      <c r="S300" s="46"/>
      <c r="T300" s="46"/>
      <c r="U300" s="46"/>
      <c r="V300" s="46"/>
      <c r="W300" s="46"/>
      <c r="X300" s="46"/>
      <c r="Y300" s="46"/>
    </row>
    <row r="301" spans="1:25" hidden="1" outlineLevel="1">
      <c r="A301" s="9"/>
      <c r="B301" s="255">
        <f>Asset22</f>
        <v>0</v>
      </c>
      <c r="C301" s="9"/>
      <c r="D301" s="9"/>
      <c r="E301" s="37"/>
      <c r="F301" s="37"/>
      <c r="G301" s="257"/>
      <c r="H301" s="37"/>
      <c r="I301" s="37"/>
      <c r="J301" s="37"/>
      <c r="K301" s="37"/>
      <c r="L301" s="37"/>
      <c r="M301" s="9"/>
      <c r="N301" s="9"/>
      <c r="O301" s="9"/>
      <c r="P301" s="9"/>
      <c r="Q301" s="9"/>
      <c r="R301" s="46"/>
      <c r="S301" s="46"/>
      <c r="T301" s="46"/>
      <c r="U301" s="46"/>
      <c r="V301" s="46"/>
      <c r="W301" s="46"/>
      <c r="X301" s="46"/>
      <c r="Y301" s="46"/>
    </row>
    <row r="302" spans="1:25" ht="12.75" hidden="1" customHeight="1" outlineLevel="1">
      <c r="A302" s="9"/>
      <c r="B302" s="9"/>
      <c r="C302" s="541" t="s">
        <v>28</v>
      </c>
      <c r="D302" s="542"/>
      <c r="E302" s="256">
        <f ca="1">A22value-SUM('Actual RAB roll forward'!H317:OFFSET('Actual RAB roll forward'!H317,0,Input!$Y$7-1))</f>
        <v>0</v>
      </c>
      <c r="F302" s="256">
        <f>IF(A22remlife="N/A",0,A22remlife-Input!$Y$7)</f>
        <v>0</v>
      </c>
      <c r="G302" s="257"/>
      <c r="H302" s="256"/>
      <c r="I302" s="256"/>
      <c r="J302" s="256"/>
      <c r="K302" s="256"/>
      <c r="L302" s="256"/>
      <c r="M302" s="9"/>
      <c r="N302" s="9"/>
      <c r="O302" s="9"/>
      <c r="P302" s="9"/>
      <c r="Q302" s="9"/>
      <c r="R302" s="46"/>
      <c r="S302" s="46"/>
      <c r="T302" s="46"/>
      <c r="U302" s="46"/>
      <c r="V302" s="46"/>
      <c r="W302" s="46"/>
      <c r="X302" s="46"/>
      <c r="Y302" s="46"/>
    </row>
    <row r="303" spans="1:25" ht="12.75" hidden="1" customHeight="1" outlineLevel="1">
      <c r="A303" s="9"/>
      <c r="B303" s="9"/>
      <c r="C303" s="538" t="s">
        <v>86</v>
      </c>
      <c r="D303" s="87">
        <v>1</v>
      </c>
      <c r="E303" s="256">
        <f ca="1">OFFSET('Actual RAB roll forward'!H$33,0,D303-1)-SUM('Actual RAB roll forward'!H319:OFFSET('Actual RAB roll forward'!H319,0,Input!$Y$7-1))</f>
        <v>0</v>
      </c>
      <c r="F303" s="256">
        <f>IF(A22stdlife="N/A",0,IF(E303=0,0,A22stdlife+D303-Input!$Y$7))</f>
        <v>0</v>
      </c>
      <c r="G303" s="257"/>
      <c r="H303" s="256"/>
      <c r="I303" s="256"/>
      <c r="J303" s="256"/>
      <c r="K303" s="256"/>
      <c r="L303" s="256"/>
      <c r="M303" s="9"/>
      <c r="N303" s="9"/>
      <c r="O303" s="9"/>
      <c r="P303" s="9"/>
      <c r="Q303" s="9"/>
      <c r="R303" s="46"/>
      <c r="S303" s="46"/>
      <c r="T303" s="46"/>
      <c r="U303" s="46"/>
      <c r="V303" s="46"/>
      <c r="W303" s="46"/>
      <c r="X303" s="46"/>
      <c r="Y303" s="46"/>
    </row>
    <row r="304" spans="1:25" hidden="1" outlineLevel="1">
      <c r="A304" s="9"/>
      <c r="B304" s="9"/>
      <c r="C304" s="539"/>
      <c r="D304" s="87">
        <v>2</v>
      </c>
      <c r="E304" s="256">
        <f ca="1">OFFSET('Actual RAB roll forward'!H$33,0,D304-1)-SUM('Actual RAB roll forward'!H320:OFFSET('Actual RAB roll forward'!H320,0,Input!$Y$7-1))</f>
        <v>0</v>
      </c>
      <c r="F304" s="256">
        <f>IF(A22stdlife="N/A",0,IF(E304=0,0,A22stdlife+D304-Input!$Y$7))</f>
        <v>0</v>
      </c>
      <c r="G304" s="257"/>
      <c r="H304" s="256"/>
      <c r="I304" s="256"/>
      <c r="J304" s="256"/>
      <c r="K304" s="256"/>
      <c r="L304" s="256"/>
      <c r="M304" s="9"/>
      <c r="N304" s="9"/>
      <c r="O304" s="9"/>
      <c r="P304" s="9"/>
      <c r="Q304" s="9"/>
      <c r="R304" s="46"/>
      <c r="S304" s="46"/>
      <c r="T304" s="46"/>
      <c r="U304" s="46"/>
      <c r="V304" s="46"/>
      <c r="W304" s="46"/>
      <c r="X304" s="46"/>
      <c r="Y304" s="46"/>
    </row>
    <row r="305" spans="1:25" hidden="1" outlineLevel="1">
      <c r="A305" s="9"/>
      <c r="B305" s="9"/>
      <c r="C305" s="539"/>
      <c r="D305" s="87">
        <v>3</v>
      </c>
      <c r="E305" s="256">
        <f ca="1">OFFSET('Actual RAB roll forward'!H$33,0,D305-1)-SUM('Actual RAB roll forward'!H321:OFFSET('Actual RAB roll forward'!H321,0,Input!$Y$7-1))</f>
        <v>0</v>
      </c>
      <c r="F305" s="256">
        <f>IF(A22stdlife="N/A",0,IF(E305=0,0,A22stdlife+D305-Input!$Y$7))</f>
        <v>0</v>
      </c>
      <c r="G305" s="257"/>
      <c r="H305" s="256"/>
      <c r="I305" s="256"/>
      <c r="J305" s="256"/>
      <c r="K305" s="256"/>
      <c r="L305" s="256"/>
      <c r="M305" s="9"/>
      <c r="N305" s="9"/>
      <c r="O305" s="9"/>
      <c r="P305" s="9"/>
      <c r="Q305" s="9"/>
      <c r="R305" s="46"/>
      <c r="S305" s="46"/>
      <c r="T305" s="46"/>
      <c r="U305" s="46"/>
      <c r="V305" s="46"/>
      <c r="W305" s="46"/>
      <c r="X305" s="46"/>
      <c r="Y305" s="46"/>
    </row>
    <row r="306" spans="1:25" hidden="1" outlineLevel="1">
      <c r="A306" s="9"/>
      <c r="B306" s="9"/>
      <c r="C306" s="539"/>
      <c r="D306" s="87">
        <v>4</v>
      </c>
      <c r="E306" s="256">
        <f ca="1">OFFSET('Actual RAB roll forward'!H$33,0,D306-1)-SUM('Actual RAB roll forward'!H322:OFFSET('Actual RAB roll forward'!H322,0,Input!$Y$7-1))</f>
        <v>0</v>
      </c>
      <c r="F306" s="256">
        <f>IF(A22stdlife="N/A",0,IF(E306=0,0,A22stdlife+D306-Input!$Y$7))</f>
        <v>0</v>
      </c>
      <c r="G306" s="257"/>
      <c r="H306" s="256"/>
      <c r="I306" s="256"/>
      <c r="J306" s="256"/>
      <c r="K306" s="256"/>
      <c r="L306" s="256"/>
      <c r="M306" s="9"/>
      <c r="N306" s="9"/>
      <c r="O306" s="9"/>
      <c r="P306" s="9"/>
      <c r="Q306" s="9"/>
      <c r="R306" s="46"/>
      <c r="S306" s="46"/>
      <c r="T306" s="46"/>
      <c r="U306" s="46"/>
      <c r="V306" s="46"/>
      <c r="W306" s="46"/>
      <c r="X306" s="46"/>
      <c r="Y306" s="46"/>
    </row>
    <row r="307" spans="1:25" hidden="1" outlineLevel="1">
      <c r="A307" s="9"/>
      <c r="B307" s="9"/>
      <c r="C307" s="539"/>
      <c r="D307" s="87">
        <v>5</v>
      </c>
      <c r="E307" s="256">
        <f ca="1">OFFSET('Actual RAB roll forward'!H$33,0,D307-1)-SUM('Actual RAB roll forward'!H323:OFFSET('Actual RAB roll forward'!H323,0,Input!$Y$7-1))</f>
        <v>0</v>
      </c>
      <c r="F307" s="256">
        <f>IF(A22stdlife="N/A",0,IF(E307=0,0,A22stdlife+D307-Input!$Y$7))</f>
        <v>0</v>
      </c>
      <c r="G307" s="257"/>
      <c r="H307" s="256"/>
      <c r="I307" s="256"/>
      <c r="J307" s="256"/>
      <c r="K307" s="256"/>
      <c r="L307" s="256"/>
      <c r="M307" s="9"/>
      <c r="N307" s="9"/>
      <c r="O307" s="9"/>
      <c r="P307" s="9"/>
      <c r="Q307" s="9"/>
      <c r="R307" s="46"/>
      <c r="S307" s="46"/>
      <c r="T307" s="46"/>
      <c r="U307" s="46"/>
      <c r="V307" s="46"/>
      <c r="W307" s="46"/>
      <c r="X307" s="46"/>
      <c r="Y307" s="46"/>
    </row>
    <row r="308" spans="1:25" hidden="1" outlineLevel="1">
      <c r="A308" s="9"/>
      <c r="B308" s="9"/>
      <c r="C308" s="539"/>
      <c r="D308" s="87">
        <v>6</v>
      </c>
      <c r="E308" s="256">
        <f ca="1">OFFSET('Actual RAB roll forward'!H$33,0,D308-1)-SUM('Actual RAB roll forward'!H324:OFFSET('Actual RAB roll forward'!H324,0,Input!$Y$7-1))</f>
        <v>0</v>
      </c>
      <c r="F308" s="256">
        <f>IF(A22stdlife="N/A",0,IF(E308=0,0,A22stdlife+D308-Input!$Y$7))</f>
        <v>0</v>
      </c>
      <c r="G308" s="257"/>
      <c r="H308" s="256"/>
      <c r="I308" s="256"/>
      <c r="J308" s="256"/>
      <c r="K308" s="256"/>
      <c r="L308" s="256"/>
      <c r="M308" s="9"/>
      <c r="N308" s="9"/>
      <c r="O308" s="9"/>
      <c r="P308" s="9"/>
      <c r="Q308" s="9"/>
      <c r="R308" s="46"/>
      <c r="S308" s="46"/>
      <c r="T308" s="46"/>
      <c r="U308" s="46"/>
      <c r="V308" s="46"/>
      <c r="W308" s="46"/>
      <c r="X308" s="46"/>
      <c r="Y308" s="46"/>
    </row>
    <row r="309" spans="1:25" hidden="1" outlineLevel="1">
      <c r="A309" s="9"/>
      <c r="B309" s="9"/>
      <c r="C309" s="539"/>
      <c r="D309" s="87">
        <v>7</v>
      </c>
      <c r="E309" s="256">
        <f ca="1">OFFSET('Actual RAB roll forward'!H$33,0,D309-1)-SUM('Actual RAB roll forward'!H325:OFFSET('Actual RAB roll forward'!H325,0,Input!$Y$7-1))</f>
        <v>0</v>
      </c>
      <c r="F309" s="256">
        <f>IF(A22stdlife="N/A",0,IF(E309=0,0,A22stdlife+D309-Input!$Y$7))</f>
        <v>0</v>
      </c>
      <c r="G309" s="257"/>
      <c r="H309" s="256"/>
      <c r="I309" s="256"/>
      <c r="J309" s="256"/>
      <c r="K309" s="256"/>
      <c r="L309" s="256"/>
      <c r="M309" s="9"/>
      <c r="N309" s="9"/>
      <c r="O309" s="9"/>
      <c r="P309" s="9"/>
      <c r="Q309" s="9"/>
      <c r="R309" s="46"/>
      <c r="S309" s="46"/>
      <c r="T309" s="46"/>
      <c r="U309" s="46"/>
      <c r="V309" s="46"/>
      <c r="W309" s="46"/>
      <c r="X309" s="46"/>
      <c r="Y309" s="46"/>
    </row>
    <row r="310" spans="1:25" hidden="1" outlineLevel="1">
      <c r="A310" s="9"/>
      <c r="B310" s="9"/>
      <c r="C310" s="539"/>
      <c r="D310" s="87">
        <v>8</v>
      </c>
      <c r="E310" s="256">
        <f ca="1">OFFSET('Actual RAB roll forward'!H$33,0,D310-1)-SUM('Actual RAB roll forward'!H326:OFFSET('Actual RAB roll forward'!H326,0,Input!$Y$7-1))</f>
        <v>0</v>
      </c>
      <c r="F310" s="256">
        <f>IF(A22stdlife="N/A",0,IF(E310=0,0,A22stdlife+D310-Input!$Y$7))</f>
        <v>0</v>
      </c>
      <c r="G310" s="257"/>
      <c r="H310" s="256"/>
      <c r="I310" s="256"/>
      <c r="J310" s="256"/>
      <c r="K310" s="256"/>
      <c r="L310" s="256"/>
      <c r="M310" s="9"/>
      <c r="N310" s="9"/>
      <c r="O310" s="9"/>
      <c r="P310" s="9"/>
      <c r="Q310" s="9"/>
      <c r="R310" s="46"/>
      <c r="S310" s="46"/>
      <c r="T310" s="46"/>
      <c r="U310" s="46"/>
      <c r="V310" s="46"/>
      <c r="W310" s="46"/>
      <c r="X310" s="46"/>
      <c r="Y310" s="46"/>
    </row>
    <row r="311" spans="1:25" hidden="1" outlineLevel="1">
      <c r="A311" s="9"/>
      <c r="B311" s="9"/>
      <c r="C311" s="539"/>
      <c r="D311" s="87">
        <v>9</v>
      </c>
      <c r="E311" s="256">
        <f ca="1">OFFSET('Actual RAB roll forward'!H$33,0,D311-1)-SUM('Actual RAB roll forward'!H327:OFFSET('Actual RAB roll forward'!H327,0,Input!$Y$7-1))</f>
        <v>0</v>
      </c>
      <c r="F311" s="256">
        <f>IF(A22stdlife="N/A",0,IF(E311=0,0,A22stdlife+D311-Input!$Y$7))</f>
        <v>0</v>
      </c>
      <c r="G311" s="257"/>
      <c r="H311" s="256"/>
      <c r="I311" s="256"/>
      <c r="J311" s="256"/>
      <c r="K311" s="256"/>
      <c r="L311" s="256"/>
      <c r="M311" s="9"/>
      <c r="N311" s="9"/>
      <c r="O311" s="9"/>
      <c r="P311" s="9"/>
      <c r="Q311" s="9"/>
      <c r="R311" s="46"/>
      <c r="S311" s="46"/>
      <c r="T311" s="46"/>
      <c r="U311" s="46"/>
      <c r="V311" s="46"/>
      <c r="W311" s="46"/>
      <c r="X311" s="46"/>
      <c r="Y311" s="46"/>
    </row>
    <row r="312" spans="1:25" hidden="1" outlineLevel="1">
      <c r="A312" s="9"/>
      <c r="B312" s="9"/>
      <c r="C312" s="540"/>
      <c r="D312" s="88">
        <v>10</v>
      </c>
      <c r="E312" s="256">
        <f ca="1">OFFSET('Actual RAB roll forward'!H$33,0,D312-1)-SUM('Actual RAB roll forward'!H328:OFFSET('Actual RAB roll forward'!H328,0,Input!$Y$7-1))</f>
        <v>0</v>
      </c>
      <c r="F312" s="256">
        <f>IF(A22stdlife="N/A",0,IF(E312=0,0,A22stdlife+D312-Input!$Y$7))</f>
        <v>0</v>
      </c>
      <c r="G312" s="257"/>
      <c r="H312" s="256"/>
      <c r="I312" s="256"/>
      <c r="J312" s="256"/>
      <c r="K312" s="256"/>
      <c r="L312" s="256"/>
      <c r="M312" s="9"/>
      <c r="N312" s="9"/>
      <c r="O312" s="9"/>
      <c r="P312" s="9"/>
      <c r="Q312" s="9"/>
      <c r="R312" s="46"/>
      <c r="S312" s="46"/>
      <c r="T312" s="46"/>
      <c r="U312" s="46"/>
      <c r="V312" s="46"/>
      <c r="W312" s="46"/>
      <c r="X312" s="46"/>
      <c r="Y312" s="46"/>
    </row>
    <row r="313" spans="1:25" collapsed="1">
      <c r="A313" s="9"/>
      <c r="B313" s="9"/>
      <c r="C313" s="264">
        <f>Asset22</f>
        <v>0</v>
      </c>
      <c r="D313" s="9"/>
      <c r="E313" s="256">
        <f ca="1">SUM(E302:E312)</f>
        <v>0</v>
      </c>
      <c r="F313" s="256"/>
      <c r="G313" s="257"/>
      <c r="H313" s="256"/>
      <c r="I313" s="256"/>
      <c r="J313" s="256"/>
      <c r="K313" s="256"/>
      <c r="L313" s="256"/>
      <c r="M313" s="9"/>
      <c r="N313" s="9"/>
      <c r="O313" s="9"/>
      <c r="P313" s="9"/>
      <c r="Q313" s="9"/>
      <c r="R313" s="46"/>
      <c r="S313" s="46"/>
      <c r="T313" s="46"/>
      <c r="U313" s="46"/>
      <c r="V313" s="46"/>
      <c r="W313" s="46"/>
      <c r="X313" s="46"/>
      <c r="Y313" s="46"/>
    </row>
    <row r="314" spans="1:25" hidden="1" outlineLevel="1">
      <c r="A314" s="9"/>
      <c r="B314" s="255"/>
      <c r="C314" s="9"/>
      <c r="D314" s="9"/>
      <c r="E314" s="37"/>
      <c r="F314" s="37"/>
      <c r="G314" s="257"/>
      <c r="H314" s="37"/>
      <c r="I314" s="37"/>
      <c r="J314" s="37"/>
      <c r="K314" s="37"/>
      <c r="L314" s="37"/>
      <c r="M314" s="9"/>
      <c r="N314" s="9"/>
      <c r="O314" s="9"/>
      <c r="P314" s="9"/>
      <c r="Q314" s="9"/>
      <c r="R314" s="46"/>
      <c r="S314" s="46"/>
      <c r="T314" s="46"/>
      <c r="U314" s="46"/>
      <c r="V314" s="46"/>
      <c r="W314" s="46"/>
      <c r="X314" s="46"/>
      <c r="Y314" s="46"/>
    </row>
    <row r="315" spans="1:25" hidden="1" outlineLevel="1">
      <c r="A315" s="9"/>
      <c r="B315" s="255">
        <f>Asset23</f>
        <v>0</v>
      </c>
      <c r="C315" s="9"/>
      <c r="D315" s="9"/>
      <c r="E315" s="37"/>
      <c r="F315" s="37"/>
      <c r="G315" s="257"/>
      <c r="H315" s="37"/>
      <c r="I315" s="37"/>
      <c r="J315" s="37"/>
      <c r="K315" s="37"/>
      <c r="L315" s="37"/>
      <c r="M315" s="9"/>
      <c r="N315" s="9"/>
      <c r="O315" s="9"/>
      <c r="P315" s="9"/>
      <c r="Q315" s="9"/>
      <c r="R315" s="46"/>
      <c r="S315" s="46"/>
      <c r="T315" s="46"/>
      <c r="U315" s="46"/>
      <c r="V315" s="46"/>
      <c r="W315" s="46"/>
      <c r="X315" s="46"/>
      <c r="Y315" s="46"/>
    </row>
    <row r="316" spans="1:25" ht="12.75" hidden="1" customHeight="1" outlineLevel="1">
      <c r="A316" s="9"/>
      <c r="B316" s="9"/>
      <c r="C316" s="541" t="s">
        <v>28</v>
      </c>
      <c r="D316" s="542"/>
      <c r="E316" s="256">
        <f ca="1">A23value-SUM('Actual RAB roll forward'!H330:OFFSET('Actual RAB roll forward'!H330,0,Input!$Y$7-1))</f>
        <v>0</v>
      </c>
      <c r="F316" s="256">
        <f>IF(A23remlife="N/A",0,A23remlife-Input!$Y$7)</f>
        <v>0</v>
      </c>
      <c r="G316" s="257"/>
      <c r="H316" s="256"/>
      <c r="I316" s="256"/>
      <c r="J316" s="256"/>
      <c r="K316" s="256"/>
      <c r="L316" s="256"/>
      <c r="M316" s="9"/>
      <c r="N316" s="9"/>
      <c r="O316" s="9"/>
      <c r="P316" s="9"/>
      <c r="Q316" s="9"/>
      <c r="R316" s="46"/>
      <c r="S316" s="46"/>
      <c r="T316" s="46"/>
      <c r="U316" s="46"/>
      <c r="V316" s="46"/>
      <c r="W316" s="46"/>
      <c r="X316" s="46"/>
      <c r="Y316" s="46"/>
    </row>
    <row r="317" spans="1:25" ht="12.75" hidden="1" customHeight="1" outlineLevel="1">
      <c r="A317" s="9"/>
      <c r="B317" s="9"/>
      <c r="C317" s="538" t="s">
        <v>86</v>
      </c>
      <c r="D317" s="87">
        <v>1</v>
      </c>
      <c r="E317" s="256">
        <f ca="1">OFFSET('Actual RAB roll forward'!H$34,0,D317-1)-SUM('Actual RAB roll forward'!H332:OFFSET('Actual RAB roll forward'!H332,0,Input!$Y$7-1))</f>
        <v>0</v>
      </c>
      <c r="F317" s="256">
        <f>IF(A23stdlife="N/A",0,IF(E317=0,0,A23stdlife+D317-Input!$Y$7))</f>
        <v>0</v>
      </c>
      <c r="G317" s="257"/>
      <c r="H317" s="256"/>
      <c r="I317" s="256"/>
      <c r="J317" s="256"/>
      <c r="K317" s="256"/>
      <c r="L317" s="256"/>
      <c r="M317" s="9"/>
      <c r="N317" s="9"/>
      <c r="O317" s="9"/>
      <c r="P317" s="9"/>
      <c r="Q317" s="9"/>
      <c r="R317" s="46"/>
      <c r="S317" s="46"/>
      <c r="T317" s="46"/>
      <c r="U317" s="46"/>
      <c r="V317" s="46"/>
      <c r="W317" s="46"/>
      <c r="X317" s="46"/>
      <c r="Y317" s="46"/>
    </row>
    <row r="318" spans="1:25" hidden="1" outlineLevel="1">
      <c r="A318" s="9"/>
      <c r="B318" s="9"/>
      <c r="C318" s="539"/>
      <c r="D318" s="87">
        <v>2</v>
      </c>
      <c r="E318" s="256">
        <f ca="1">OFFSET('Actual RAB roll forward'!H$34,0,D318-1)-SUM('Actual RAB roll forward'!H333:OFFSET('Actual RAB roll forward'!H333,0,Input!$Y$7-1))</f>
        <v>0</v>
      </c>
      <c r="F318" s="256">
        <f>IF(A23stdlife="N/A",0,IF(E318=0,0,A23stdlife+D318-Input!$Y$7))</f>
        <v>0</v>
      </c>
      <c r="G318" s="257"/>
      <c r="H318" s="256"/>
      <c r="I318" s="256"/>
      <c r="J318" s="256"/>
      <c r="K318" s="256"/>
      <c r="L318" s="256"/>
      <c r="M318" s="9"/>
      <c r="N318" s="9"/>
      <c r="O318" s="9"/>
      <c r="P318" s="9"/>
      <c r="Q318" s="9"/>
      <c r="R318" s="46"/>
      <c r="S318" s="46"/>
      <c r="T318" s="46"/>
      <c r="U318" s="46"/>
      <c r="V318" s="46"/>
      <c r="W318" s="46"/>
      <c r="X318" s="46"/>
      <c r="Y318" s="46"/>
    </row>
    <row r="319" spans="1:25" hidden="1" outlineLevel="1">
      <c r="A319" s="9"/>
      <c r="B319" s="9"/>
      <c r="C319" s="539"/>
      <c r="D319" s="87">
        <v>3</v>
      </c>
      <c r="E319" s="256">
        <f ca="1">OFFSET('Actual RAB roll forward'!H$34,0,D319-1)-SUM('Actual RAB roll forward'!H334:OFFSET('Actual RAB roll forward'!H334,0,Input!$Y$7-1))</f>
        <v>0</v>
      </c>
      <c r="F319" s="256">
        <f>IF(A23stdlife="N/A",0,IF(E319=0,0,A23stdlife+D319-Input!$Y$7))</f>
        <v>0</v>
      </c>
      <c r="G319" s="257"/>
      <c r="H319" s="256"/>
      <c r="I319" s="256"/>
      <c r="J319" s="256"/>
      <c r="K319" s="256"/>
      <c r="L319" s="256"/>
      <c r="M319" s="9"/>
      <c r="N319" s="9"/>
      <c r="O319" s="9"/>
      <c r="P319" s="9"/>
      <c r="Q319" s="9"/>
      <c r="R319" s="46"/>
      <c r="S319" s="46"/>
      <c r="T319" s="46"/>
      <c r="U319" s="46"/>
      <c r="V319" s="46"/>
      <c r="W319" s="46"/>
      <c r="X319" s="46"/>
      <c r="Y319" s="46"/>
    </row>
    <row r="320" spans="1:25" hidden="1" outlineLevel="1">
      <c r="A320" s="9"/>
      <c r="B320" s="9"/>
      <c r="C320" s="539"/>
      <c r="D320" s="87">
        <v>4</v>
      </c>
      <c r="E320" s="256">
        <f ca="1">OFFSET('Actual RAB roll forward'!H$34,0,D320-1)-SUM('Actual RAB roll forward'!H335:OFFSET('Actual RAB roll forward'!H335,0,Input!$Y$7-1))</f>
        <v>0</v>
      </c>
      <c r="F320" s="256">
        <f>IF(A23stdlife="N/A",0,IF(E320=0,0,A23stdlife+D320-Input!$Y$7))</f>
        <v>0</v>
      </c>
      <c r="G320" s="257"/>
      <c r="H320" s="256"/>
      <c r="I320" s="256"/>
      <c r="J320" s="256"/>
      <c r="K320" s="256"/>
      <c r="L320" s="256"/>
      <c r="M320" s="9"/>
      <c r="N320" s="9"/>
      <c r="O320" s="9"/>
      <c r="P320" s="9"/>
      <c r="Q320" s="9"/>
      <c r="R320" s="46"/>
      <c r="S320" s="46"/>
      <c r="T320" s="46"/>
      <c r="U320" s="46"/>
      <c r="V320" s="46"/>
      <c r="W320" s="46"/>
      <c r="X320" s="46"/>
      <c r="Y320" s="46"/>
    </row>
    <row r="321" spans="1:25" hidden="1" outlineLevel="1">
      <c r="A321" s="9"/>
      <c r="B321" s="9"/>
      <c r="C321" s="539"/>
      <c r="D321" s="87">
        <v>5</v>
      </c>
      <c r="E321" s="256">
        <f ca="1">OFFSET('Actual RAB roll forward'!H$34,0,D321-1)-SUM('Actual RAB roll forward'!H336:OFFSET('Actual RAB roll forward'!H336,0,Input!$Y$7-1))</f>
        <v>0</v>
      </c>
      <c r="F321" s="256">
        <f>IF(A23stdlife="N/A",0,IF(E321=0,0,A23stdlife+D321-Input!$Y$7))</f>
        <v>0</v>
      </c>
      <c r="G321" s="257"/>
      <c r="H321" s="256"/>
      <c r="I321" s="256"/>
      <c r="J321" s="256"/>
      <c r="K321" s="256"/>
      <c r="L321" s="256"/>
      <c r="M321" s="9"/>
      <c r="N321" s="9"/>
      <c r="O321" s="9"/>
      <c r="P321" s="9"/>
      <c r="Q321" s="9"/>
      <c r="R321" s="46"/>
      <c r="S321" s="46"/>
      <c r="T321" s="46"/>
      <c r="U321" s="46"/>
      <c r="V321" s="46"/>
      <c r="W321" s="46"/>
      <c r="X321" s="46"/>
      <c r="Y321" s="46"/>
    </row>
    <row r="322" spans="1:25" hidden="1" outlineLevel="1">
      <c r="A322" s="9"/>
      <c r="B322" s="9"/>
      <c r="C322" s="539"/>
      <c r="D322" s="87">
        <v>6</v>
      </c>
      <c r="E322" s="256">
        <f ca="1">OFFSET('Actual RAB roll forward'!H$34,0,D322-1)-SUM('Actual RAB roll forward'!H337:OFFSET('Actual RAB roll forward'!H337,0,Input!$Y$7-1))</f>
        <v>0</v>
      </c>
      <c r="F322" s="256">
        <f>IF(A23stdlife="N/A",0,IF(E322=0,0,A23stdlife+D322-Input!$Y$7))</f>
        <v>0</v>
      </c>
      <c r="G322" s="257"/>
      <c r="H322" s="256"/>
      <c r="I322" s="256"/>
      <c r="J322" s="256"/>
      <c r="K322" s="256"/>
      <c r="L322" s="256"/>
      <c r="M322" s="9"/>
      <c r="N322" s="9"/>
      <c r="O322" s="9"/>
      <c r="P322" s="9"/>
      <c r="Q322" s="9"/>
      <c r="R322" s="46"/>
      <c r="S322" s="46"/>
      <c r="T322" s="46"/>
      <c r="U322" s="46"/>
      <c r="V322" s="46"/>
      <c r="W322" s="46"/>
      <c r="X322" s="46"/>
      <c r="Y322" s="46"/>
    </row>
    <row r="323" spans="1:25" hidden="1" outlineLevel="1">
      <c r="A323" s="9"/>
      <c r="B323" s="9"/>
      <c r="C323" s="539"/>
      <c r="D323" s="87">
        <v>7</v>
      </c>
      <c r="E323" s="256">
        <f ca="1">OFFSET('Actual RAB roll forward'!H$34,0,D323-1)-SUM('Actual RAB roll forward'!H338:OFFSET('Actual RAB roll forward'!H338,0,Input!$Y$7-1))</f>
        <v>0</v>
      </c>
      <c r="F323" s="256">
        <f>IF(A23stdlife="N/A",0,IF(E323=0,0,A23stdlife+D323-Input!$Y$7))</f>
        <v>0</v>
      </c>
      <c r="G323" s="257"/>
      <c r="H323" s="256"/>
      <c r="I323" s="256"/>
      <c r="J323" s="256"/>
      <c r="K323" s="256"/>
      <c r="L323" s="256"/>
      <c r="M323" s="9"/>
      <c r="N323" s="9"/>
      <c r="O323" s="9"/>
      <c r="P323" s="9"/>
      <c r="Q323" s="9"/>
      <c r="R323" s="46"/>
      <c r="S323" s="46"/>
      <c r="T323" s="46"/>
      <c r="U323" s="46"/>
      <c r="V323" s="46"/>
      <c r="W323" s="46"/>
      <c r="X323" s="46"/>
      <c r="Y323" s="46"/>
    </row>
    <row r="324" spans="1:25" hidden="1" outlineLevel="1">
      <c r="A324" s="9"/>
      <c r="B324" s="9"/>
      <c r="C324" s="539"/>
      <c r="D324" s="87">
        <v>8</v>
      </c>
      <c r="E324" s="256">
        <f ca="1">OFFSET('Actual RAB roll forward'!H$34,0,D324-1)-SUM('Actual RAB roll forward'!H339:OFFSET('Actual RAB roll forward'!H339,0,Input!$Y$7-1))</f>
        <v>0</v>
      </c>
      <c r="F324" s="256">
        <f>IF(A23stdlife="N/A",0,IF(E324=0,0,A23stdlife+D324-Input!$Y$7))</f>
        <v>0</v>
      </c>
      <c r="G324" s="257"/>
      <c r="H324" s="256"/>
      <c r="I324" s="256"/>
      <c r="J324" s="256"/>
      <c r="K324" s="256"/>
      <c r="L324" s="256"/>
      <c r="M324" s="9"/>
      <c r="N324" s="9"/>
      <c r="O324" s="9"/>
      <c r="P324" s="9"/>
      <c r="Q324" s="9"/>
      <c r="R324" s="46"/>
      <c r="S324" s="46"/>
      <c r="T324" s="46"/>
      <c r="U324" s="46"/>
      <c r="V324" s="46"/>
      <c r="W324" s="46"/>
      <c r="X324" s="46"/>
      <c r="Y324" s="46"/>
    </row>
    <row r="325" spans="1:25" hidden="1" outlineLevel="1">
      <c r="A325" s="9"/>
      <c r="B325" s="9"/>
      <c r="C325" s="539"/>
      <c r="D325" s="87">
        <v>9</v>
      </c>
      <c r="E325" s="256">
        <f ca="1">OFFSET('Actual RAB roll forward'!H$34,0,D325-1)-SUM('Actual RAB roll forward'!H340:OFFSET('Actual RAB roll forward'!H340,0,Input!$Y$7-1))</f>
        <v>0</v>
      </c>
      <c r="F325" s="256">
        <f>IF(A23stdlife="N/A",0,IF(E325=0,0,A23stdlife+D325-Input!$Y$7))</f>
        <v>0</v>
      </c>
      <c r="G325" s="257"/>
      <c r="H325" s="256"/>
      <c r="I325" s="256"/>
      <c r="J325" s="256"/>
      <c r="K325" s="256"/>
      <c r="L325" s="256"/>
      <c r="M325" s="9"/>
      <c r="N325" s="9"/>
      <c r="O325" s="9"/>
      <c r="P325" s="9"/>
      <c r="Q325" s="9"/>
      <c r="R325" s="46"/>
      <c r="S325" s="46"/>
      <c r="T325" s="46"/>
      <c r="U325" s="46"/>
      <c r="V325" s="46"/>
      <c r="W325" s="46"/>
      <c r="X325" s="46"/>
      <c r="Y325" s="46"/>
    </row>
    <row r="326" spans="1:25" hidden="1" outlineLevel="1">
      <c r="A326" s="9"/>
      <c r="B326" s="9"/>
      <c r="C326" s="540"/>
      <c r="D326" s="88">
        <v>10</v>
      </c>
      <c r="E326" s="256">
        <f ca="1">OFFSET('Actual RAB roll forward'!H$34,0,D326-1)-SUM('Actual RAB roll forward'!H341:OFFSET('Actual RAB roll forward'!H341,0,Input!$Y$7-1))</f>
        <v>0</v>
      </c>
      <c r="F326" s="256">
        <f>IF(A23stdlife="N/A",0,IF(E326=0,0,A23stdlife+D326-Input!$Y$7))</f>
        <v>0</v>
      </c>
      <c r="G326" s="257"/>
      <c r="H326" s="256"/>
      <c r="I326" s="256"/>
      <c r="J326" s="256"/>
      <c r="K326" s="256"/>
      <c r="L326" s="256"/>
      <c r="M326" s="9"/>
      <c r="N326" s="9"/>
      <c r="O326" s="9"/>
      <c r="P326" s="9"/>
      <c r="Q326" s="9"/>
      <c r="R326" s="46"/>
      <c r="S326" s="46"/>
      <c r="T326" s="46"/>
      <c r="U326" s="46"/>
      <c r="V326" s="46"/>
      <c r="W326" s="46"/>
      <c r="X326" s="46"/>
      <c r="Y326" s="46"/>
    </row>
    <row r="327" spans="1:25" collapsed="1">
      <c r="A327" s="9"/>
      <c r="B327" s="9"/>
      <c r="C327" s="264">
        <f>Asset23</f>
        <v>0</v>
      </c>
      <c r="D327" s="9"/>
      <c r="E327" s="256">
        <f ca="1">SUM(E316:E326)</f>
        <v>0</v>
      </c>
      <c r="F327" s="256"/>
      <c r="G327" s="257"/>
      <c r="H327" s="256"/>
      <c r="I327" s="256"/>
      <c r="J327" s="256"/>
      <c r="K327" s="256"/>
      <c r="L327" s="256"/>
      <c r="M327" s="9"/>
      <c r="N327" s="9"/>
      <c r="O327" s="9"/>
      <c r="P327" s="9"/>
      <c r="Q327" s="9"/>
      <c r="R327" s="46"/>
      <c r="S327" s="46"/>
      <c r="T327" s="46"/>
      <c r="U327" s="46"/>
      <c r="V327" s="46"/>
      <c r="W327" s="46"/>
      <c r="X327" s="46"/>
      <c r="Y327" s="46"/>
    </row>
    <row r="328" spans="1:25" hidden="1" outlineLevel="1">
      <c r="A328" s="9"/>
      <c r="B328" s="255"/>
      <c r="C328" s="9"/>
      <c r="D328" s="9"/>
      <c r="E328" s="37"/>
      <c r="F328" s="37"/>
      <c r="G328" s="257"/>
      <c r="H328" s="37"/>
      <c r="I328" s="37"/>
      <c r="J328" s="37"/>
      <c r="K328" s="37"/>
      <c r="L328" s="37"/>
      <c r="M328" s="9"/>
      <c r="N328" s="9"/>
      <c r="O328" s="9"/>
      <c r="P328" s="9"/>
      <c r="Q328" s="9"/>
      <c r="R328" s="46"/>
      <c r="S328" s="46"/>
      <c r="T328" s="46"/>
      <c r="U328" s="46"/>
      <c r="V328" s="46"/>
      <c r="W328" s="46"/>
      <c r="X328" s="46"/>
      <c r="Y328" s="46"/>
    </row>
    <row r="329" spans="1:25" hidden="1" outlineLevel="1">
      <c r="A329" s="9"/>
      <c r="B329" s="255">
        <f>Asset24</f>
        <v>0</v>
      </c>
      <c r="C329" s="9"/>
      <c r="D329" s="9"/>
      <c r="E329" s="37"/>
      <c r="F329" s="37"/>
      <c r="G329" s="257"/>
      <c r="H329" s="37"/>
      <c r="I329" s="37"/>
      <c r="J329" s="37"/>
      <c r="K329" s="37"/>
      <c r="L329" s="37"/>
      <c r="M329" s="9"/>
      <c r="N329" s="9"/>
      <c r="O329" s="9"/>
      <c r="P329" s="9"/>
      <c r="Q329" s="9"/>
      <c r="R329" s="46"/>
      <c r="S329" s="46"/>
      <c r="T329" s="46"/>
      <c r="U329" s="46"/>
      <c r="V329" s="46"/>
      <c r="W329" s="46"/>
      <c r="X329" s="46"/>
      <c r="Y329" s="46"/>
    </row>
    <row r="330" spans="1:25" ht="12.75" hidden="1" customHeight="1" outlineLevel="1">
      <c r="A330" s="9"/>
      <c r="B330" s="9"/>
      <c r="C330" s="541" t="s">
        <v>28</v>
      </c>
      <c r="D330" s="542"/>
      <c r="E330" s="256">
        <f ca="1">A24value-SUM('Actual RAB roll forward'!H343:OFFSET('Actual RAB roll forward'!H343,0,Input!$Y$7-1))</f>
        <v>0</v>
      </c>
      <c r="F330" s="256">
        <f>IF(A24remlife="N/A",0,A24remlife-Input!$Y$7)</f>
        <v>0</v>
      </c>
      <c r="G330" s="257"/>
      <c r="H330" s="256"/>
      <c r="I330" s="256"/>
      <c r="J330" s="256"/>
      <c r="K330" s="256"/>
      <c r="L330" s="256"/>
      <c r="M330" s="9"/>
      <c r="N330" s="9"/>
      <c r="O330" s="9"/>
      <c r="P330" s="9"/>
      <c r="Q330" s="9"/>
      <c r="R330" s="46"/>
      <c r="S330" s="46"/>
      <c r="T330" s="46"/>
      <c r="U330" s="46"/>
      <c r="V330" s="46"/>
      <c r="W330" s="46"/>
      <c r="X330" s="46"/>
      <c r="Y330" s="46"/>
    </row>
    <row r="331" spans="1:25" ht="12.75" hidden="1" customHeight="1" outlineLevel="1">
      <c r="A331" s="9"/>
      <c r="B331" s="9"/>
      <c r="C331" s="538" t="s">
        <v>86</v>
      </c>
      <c r="D331" s="87">
        <v>1</v>
      </c>
      <c r="E331" s="256">
        <f ca="1">OFFSET('Actual RAB roll forward'!H$35,0,D331-1)-SUM('Actual RAB roll forward'!H345:OFFSET('Actual RAB roll forward'!H345,0,Input!$Y$7-1))</f>
        <v>0</v>
      </c>
      <c r="F331" s="256">
        <f>IF(A24stdlife="N/A",0,IF(E331=0,0,A24stdlife+D331-Input!$Y$7))</f>
        <v>0</v>
      </c>
      <c r="G331" s="257"/>
      <c r="H331" s="256"/>
      <c r="I331" s="256"/>
      <c r="J331" s="256"/>
      <c r="K331" s="256"/>
      <c r="L331" s="256"/>
      <c r="M331" s="9"/>
      <c r="N331" s="9"/>
      <c r="O331" s="9"/>
      <c r="P331" s="9"/>
      <c r="Q331" s="9"/>
      <c r="R331" s="46"/>
      <c r="S331" s="46"/>
      <c r="T331" s="46"/>
      <c r="U331" s="46"/>
      <c r="V331" s="46"/>
      <c r="W331" s="46"/>
      <c r="X331" s="46"/>
      <c r="Y331" s="46"/>
    </row>
    <row r="332" spans="1:25" hidden="1" outlineLevel="1">
      <c r="A332" s="9"/>
      <c r="B332" s="9"/>
      <c r="C332" s="539"/>
      <c r="D332" s="87">
        <v>2</v>
      </c>
      <c r="E332" s="256">
        <f ca="1">OFFSET('Actual RAB roll forward'!H$35,0,D332-1)-SUM('Actual RAB roll forward'!H346:OFFSET('Actual RAB roll forward'!H346,0,Input!$Y$7-1))</f>
        <v>0</v>
      </c>
      <c r="F332" s="256">
        <f>IF(A24stdlife="N/A",0,IF(E332=0,0,A24stdlife+D332-Input!$Y$7))</f>
        <v>0</v>
      </c>
      <c r="G332" s="257"/>
      <c r="H332" s="256"/>
      <c r="I332" s="256"/>
      <c r="J332" s="256"/>
      <c r="K332" s="256"/>
      <c r="L332" s="256"/>
      <c r="M332" s="9"/>
      <c r="N332" s="9"/>
      <c r="O332" s="9"/>
      <c r="P332" s="9"/>
      <c r="Q332" s="9"/>
      <c r="R332" s="46"/>
      <c r="S332" s="46"/>
      <c r="T332" s="46"/>
      <c r="U332" s="46"/>
      <c r="V332" s="46"/>
      <c r="W332" s="46"/>
      <c r="X332" s="46"/>
      <c r="Y332" s="46"/>
    </row>
    <row r="333" spans="1:25" hidden="1" outlineLevel="1">
      <c r="A333" s="9"/>
      <c r="B333" s="9"/>
      <c r="C333" s="539"/>
      <c r="D333" s="87">
        <v>3</v>
      </c>
      <c r="E333" s="256">
        <f ca="1">OFFSET('Actual RAB roll forward'!H$35,0,D333-1)-SUM('Actual RAB roll forward'!H347:OFFSET('Actual RAB roll forward'!H347,0,Input!$Y$7-1))</f>
        <v>0</v>
      </c>
      <c r="F333" s="256">
        <f>IF(A24stdlife="N/A",0,IF(E333=0,0,A24stdlife+D333-Input!$Y$7))</f>
        <v>0</v>
      </c>
      <c r="G333" s="257"/>
      <c r="H333" s="256"/>
      <c r="I333" s="256"/>
      <c r="J333" s="256"/>
      <c r="K333" s="256"/>
      <c r="L333" s="256"/>
      <c r="M333" s="9"/>
      <c r="N333" s="9"/>
      <c r="O333" s="9"/>
      <c r="P333" s="9"/>
      <c r="Q333" s="9"/>
      <c r="R333" s="46"/>
      <c r="S333" s="46"/>
      <c r="T333" s="46"/>
      <c r="U333" s="46"/>
      <c r="V333" s="46"/>
      <c r="W333" s="46"/>
      <c r="X333" s="46"/>
      <c r="Y333" s="46"/>
    </row>
    <row r="334" spans="1:25" hidden="1" outlineLevel="1">
      <c r="A334" s="9"/>
      <c r="B334" s="9"/>
      <c r="C334" s="539"/>
      <c r="D334" s="87">
        <v>4</v>
      </c>
      <c r="E334" s="256">
        <f ca="1">OFFSET('Actual RAB roll forward'!H$35,0,D334-1)-SUM('Actual RAB roll forward'!H348:OFFSET('Actual RAB roll forward'!H348,0,Input!$Y$7-1))</f>
        <v>0</v>
      </c>
      <c r="F334" s="256">
        <f>IF(A24stdlife="N/A",0,IF(E334=0,0,A24stdlife+D334-Input!$Y$7))</f>
        <v>0</v>
      </c>
      <c r="G334" s="257"/>
      <c r="H334" s="256"/>
      <c r="I334" s="256"/>
      <c r="J334" s="256"/>
      <c r="K334" s="256"/>
      <c r="L334" s="256"/>
      <c r="M334" s="9"/>
      <c r="N334" s="9"/>
      <c r="O334" s="9"/>
      <c r="P334" s="9"/>
      <c r="Q334" s="9"/>
      <c r="R334" s="46"/>
      <c r="S334" s="46"/>
      <c r="T334" s="46"/>
      <c r="U334" s="46"/>
      <c r="V334" s="46"/>
      <c r="W334" s="46"/>
      <c r="X334" s="46"/>
      <c r="Y334" s="46"/>
    </row>
    <row r="335" spans="1:25" hidden="1" outlineLevel="1">
      <c r="A335" s="9"/>
      <c r="B335" s="9"/>
      <c r="C335" s="539"/>
      <c r="D335" s="87">
        <v>5</v>
      </c>
      <c r="E335" s="256">
        <f ca="1">OFFSET('Actual RAB roll forward'!H$35,0,D335-1)-SUM('Actual RAB roll forward'!H349:OFFSET('Actual RAB roll forward'!H349,0,Input!$Y$7-1))</f>
        <v>0</v>
      </c>
      <c r="F335" s="256">
        <f>IF(A24stdlife="N/A",0,IF(E335=0,0,A24stdlife+D335-Input!$Y$7))</f>
        <v>0</v>
      </c>
      <c r="G335" s="257"/>
      <c r="H335" s="256"/>
      <c r="I335" s="256"/>
      <c r="J335" s="256"/>
      <c r="K335" s="256"/>
      <c r="L335" s="256"/>
      <c r="M335" s="9"/>
      <c r="N335" s="9"/>
      <c r="O335" s="9"/>
      <c r="P335" s="9"/>
      <c r="Q335" s="9"/>
      <c r="R335" s="46"/>
      <c r="S335" s="46"/>
      <c r="T335" s="46"/>
      <c r="U335" s="46"/>
      <c r="V335" s="46"/>
      <c r="W335" s="46"/>
      <c r="X335" s="46"/>
      <c r="Y335" s="46"/>
    </row>
    <row r="336" spans="1:25" hidden="1" outlineLevel="1">
      <c r="A336" s="9"/>
      <c r="B336" s="9"/>
      <c r="C336" s="539"/>
      <c r="D336" s="87">
        <v>6</v>
      </c>
      <c r="E336" s="256">
        <f ca="1">OFFSET('Actual RAB roll forward'!H$35,0,D336-1)-SUM('Actual RAB roll forward'!H350:OFFSET('Actual RAB roll forward'!H350,0,Input!$Y$7-1))</f>
        <v>0</v>
      </c>
      <c r="F336" s="256">
        <f>IF(A24stdlife="N/A",0,IF(E336=0,0,A24stdlife+D336-Input!$Y$7))</f>
        <v>0</v>
      </c>
      <c r="G336" s="257"/>
      <c r="H336" s="256"/>
      <c r="I336" s="256"/>
      <c r="J336" s="256"/>
      <c r="K336" s="256"/>
      <c r="L336" s="256"/>
      <c r="M336" s="9"/>
      <c r="N336" s="9"/>
      <c r="O336" s="9"/>
      <c r="P336" s="9"/>
      <c r="Q336" s="9"/>
      <c r="R336" s="46"/>
      <c r="S336" s="46"/>
      <c r="T336" s="46"/>
      <c r="U336" s="46"/>
      <c r="V336" s="46"/>
      <c r="W336" s="46"/>
      <c r="X336" s="46"/>
      <c r="Y336" s="46"/>
    </row>
    <row r="337" spans="1:25" hidden="1" outlineLevel="1">
      <c r="A337" s="9"/>
      <c r="B337" s="9"/>
      <c r="C337" s="539"/>
      <c r="D337" s="87">
        <v>7</v>
      </c>
      <c r="E337" s="256">
        <f ca="1">OFFSET('Actual RAB roll forward'!H$35,0,D337-1)-SUM('Actual RAB roll forward'!H351:OFFSET('Actual RAB roll forward'!H351,0,Input!$Y$7-1))</f>
        <v>0</v>
      </c>
      <c r="F337" s="256">
        <f>IF(A24stdlife="N/A",0,IF(E337=0,0,A24stdlife+D337-Input!$Y$7))</f>
        <v>0</v>
      </c>
      <c r="G337" s="257"/>
      <c r="H337" s="256"/>
      <c r="I337" s="256"/>
      <c r="J337" s="256"/>
      <c r="K337" s="256"/>
      <c r="L337" s="256"/>
      <c r="M337" s="9"/>
      <c r="N337" s="9"/>
      <c r="O337" s="9"/>
      <c r="P337" s="9"/>
      <c r="Q337" s="9"/>
      <c r="R337" s="46"/>
      <c r="S337" s="46"/>
      <c r="T337" s="46"/>
      <c r="U337" s="46"/>
      <c r="V337" s="46"/>
      <c r="W337" s="46"/>
      <c r="X337" s="46"/>
      <c r="Y337" s="46"/>
    </row>
    <row r="338" spans="1:25" hidden="1" outlineLevel="1">
      <c r="A338" s="9"/>
      <c r="B338" s="9"/>
      <c r="C338" s="539"/>
      <c r="D338" s="87">
        <v>8</v>
      </c>
      <c r="E338" s="256">
        <f ca="1">OFFSET('Actual RAB roll forward'!H$35,0,D338-1)-SUM('Actual RAB roll forward'!H352:OFFSET('Actual RAB roll forward'!H352,0,Input!$Y$7-1))</f>
        <v>0</v>
      </c>
      <c r="F338" s="256">
        <f>IF(A24stdlife="N/A",0,IF(E338=0,0,A24stdlife+D338-Input!$Y$7))</f>
        <v>0</v>
      </c>
      <c r="G338" s="257"/>
      <c r="H338" s="256"/>
      <c r="I338" s="256"/>
      <c r="J338" s="256"/>
      <c r="K338" s="256"/>
      <c r="L338" s="256"/>
      <c r="M338" s="9"/>
      <c r="N338" s="9"/>
      <c r="O338" s="9"/>
      <c r="P338" s="9"/>
      <c r="Q338" s="9"/>
      <c r="R338" s="46"/>
      <c r="S338" s="46"/>
      <c r="T338" s="46"/>
      <c r="U338" s="46"/>
      <c r="V338" s="46"/>
      <c r="W338" s="46"/>
      <c r="X338" s="46"/>
      <c r="Y338" s="46"/>
    </row>
    <row r="339" spans="1:25" hidden="1" outlineLevel="1">
      <c r="A339" s="9"/>
      <c r="B339" s="9"/>
      <c r="C339" s="539"/>
      <c r="D339" s="87">
        <v>9</v>
      </c>
      <c r="E339" s="256">
        <f ca="1">OFFSET('Actual RAB roll forward'!H$35,0,D339-1)-SUM('Actual RAB roll forward'!H353:OFFSET('Actual RAB roll forward'!H353,0,Input!$Y$7-1))</f>
        <v>0</v>
      </c>
      <c r="F339" s="256">
        <f>IF(A24stdlife="N/A",0,IF(E339=0,0,A24stdlife+D339-Input!$Y$7))</f>
        <v>0</v>
      </c>
      <c r="G339" s="257"/>
      <c r="H339" s="256"/>
      <c r="I339" s="256"/>
      <c r="J339" s="256"/>
      <c r="K339" s="256"/>
      <c r="L339" s="256"/>
      <c r="M339" s="9"/>
      <c r="N339" s="9"/>
      <c r="O339" s="9"/>
      <c r="P339" s="9"/>
      <c r="Q339" s="9"/>
      <c r="R339" s="46"/>
      <c r="S339" s="46"/>
      <c r="T339" s="46"/>
      <c r="U339" s="46"/>
      <c r="V339" s="46"/>
      <c r="W339" s="46"/>
      <c r="X339" s="46"/>
      <c r="Y339" s="46"/>
    </row>
    <row r="340" spans="1:25" hidden="1" outlineLevel="1">
      <c r="A340" s="9"/>
      <c r="B340" s="9"/>
      <c r="C340" s="540"/>
      <c r="D340" s="88">
        <v>10</v>
      </c>
      <c r="E340" s="256">
        <f ca="1">OFFSET('Actual RAB roll forward'!H$35,0,D340-1)-SUM('Actual RAB roll forward'!H354:OFFSET('Actual RAB roll forward'!H354,0,Input!$Y$7-1))</f>
        <v>0</v>
      </c>
      <c r="F340" s="256">
        <f>IF(A24stdlife="N/A",0,IF(E340=0,0,A24stdlife+D340-Input!$Y$7))</f>
        <v>0</v>
      </c>
      <c r="G340" s="257"/>
      <c r="H340" s="256"/>
      <c r="I340" s="256"/>
      <c r="J340" s="256"/>
      <c r="K340" s="256"/>
      <c r="L340" s="256"/>
      <c r="M340" s="9"/>
      <c r="N340" s="9"/>
      <c r="O340" s="9"/>
      <c r="P340" s="9"/>
      <c r="Q340" s="9"/>
      <c r="R340" s="46"/>
      <c r="S340" s="46"/>
      <c r="T340" s="46"/>
      <c r="U340" s="46"/>
      <c r="V340" s="46"/>
      <c r="W340" s="46"/>
      <c r="X340" s="46"/>
      <c r="Y340" s="46"/>
    </row>
    <row r="341" spans="1:25" collapsed="1">
      <c r="A341" s="9"/>
      <c r="B341" s="9"/>
      <c r="C341" s="264">
        <f>Asset24</f>
        <v>0</v>
      </c>
      <c r="D341" s="9"/>
      <c r="E341" s="256">
        <f ca="1">SUM(E330:E340)</f>
        <v>0</v>
      </c>
      <c r="F341" s="256"/>
      <c r="G341" s="257"/>
      <c r="H341" s="256"/>
      <c r="I341" s="256"/>
      <c r="J341" s="256"/>
      <c r="K341" s="256"/>
      <c r="L341" s="256"/>
      <c r="M341" s="9"/>
      <c r="N341" s="9"/>
      <c r="O341" s="9"/>
      <c r="P341" s="9"/>
      <c r="Q341" s="9"/>
      <c r="R341" s="46"/>
      <c r="S341" s="46"/>
      <c r="T341" s="46"/>
      <c r="U341" s="46"/>
      <c r="V341" s="46"/>
      <c r="W341" s="46"/>
      <c r="X341" s="46"/>
      <c r="Y341" s="46"/>
    </row>
    <row r="342" spans="1:25" hidden="1" outlineLevel="1">
      <c r="A342" s="9"/>
      <c r="B342" s="255"/>
      <c r="C342" s="9"/>
      <c r="D342" s="9"/>
      <c r="E342" s="37"/>
      <c r="F342" s="37"/>
      <c r="G342" s="257"/>
      <c r="H342" s="37"/>
      <c r="I342" s="37"/>
      <c r="J342" s="37"/>
      <c r="K342" s="37"/>
      <c r="L342" s="37"/>
      <c r="M342" s="9"/>
      <c r="N342" s="9"/>
      <c r="O342" s="9"/>
      <c r="P342" s="9"/>
      <c r="Q342" s="9"/>
      <c r="R342" s="46"/>
      <c r="S342" s="46"/>
      <c r="T342" s="46"/>
      <c r="U342" s="46"/>
      <c r="V342" s="46"/>
      <c r="W342" s="46"/>
      <c r="X342" s="46"/>
      <c r="Y342" s="46"/>
    </row>
    <row r="343" spans="1:25" hidden="1" outlineLevel="1">
      <c r="A343" s="9"/>
      <c r="B343" s="255">
        <f>Asset25</f>
        <v>0</v>
      </c>
      <c r="C343" s="9"/>
      <c r="D343" s="9"/>
      <c r="E343" s="37"/>
      <c r="F343" s="37"/>
      <c r="G343" s="257"/>
      <c r="H343" s="37"/>
      <c r="I343" s="37"/>
      <c r="J343" s="37"/>
      <c r="K343" s="37"/>
      <c r="L343" s="37"/>
      <c r="M343" s="9"/>
      <c r="N343" s="9"/>
      <c r="O343" s="9"/>
      <c r="P343" s="9"/>
      <c r="Q343" s="9"/>
      <c r="R343" s="46"/>
      <c r="S343" s="46"/>
      <c r="T343" s="46"/>
      <c r="U343" s="46"/>
      <c r="V343" s="46"/>
      <c r="W343" s="46"/>
      <c r="X343" s="46"/>
      <c r="Y343" s="46"/>
    </row>
    <row r="344" spans="1:25" ht="12.75" hidden="1" customHeight="1" outlineLevel="1">
      <c r="A344" s="9"/>
      <c r="B344" s="9"/>
      <c r="C344" s="541" t="s">
        <v>28</v>
      </c>
      <c r="D344" s="542"/>
      <c r="E344" s="256">
        <f ca="1">A25value-SUM('Actual RAB roll forward'!H356:OFFSET('Actual RAB roll forward'!H356,0,Input!$Y$7-1))</f>
        <v>0</v>
      </c>
      <c r="F344" s="256">
        <f>IF(A25remlife="N/A",0,A25remlife-Input!$Y$7)</f>
        <v>0</v>
      </c>
      <c r="G344" s="257"/>
      <c r="H344" s="256"/>
      <c r="I344" s="256"/>
      <c r="J344" s="256"/>
      <c r="K344" s="256"/>
      <c r="L344" s="256"/>
      <c r="M344" s="9"/>
      <c r="N344" s="9"/>
      <c r="O344" s="9"/>
      <c r="P344" s="9"/>
      <c r="Q344" s="9"/>
      <c r="R344" s="46"/>
      <c r="S344" s="46"/>
      <c r="T344" s="46"/>
      <c r="U344" s="46"/>
      <c r="V344" s="46"/>
      <c r="W344" s="46"/>
      <c r="X344" s="46"/>
      <c r="Y344" s="46"/>
    </row>
    <row r="345" spans="1:25" ht="12.75" hidden="1" customHeight="1" outlineLevel="1">
      <c r="A345" s="9"/>
      <c r="B345" s="9"/>
      <c r="C345" s="538" t="s">
        <v>86</v>
      </c>
      <c r="D345" s="87">
        <v>1</v>
      </c>
      <c r="E345" s="256">
        <f ca="1">OFFSET('Actual RAB roll forward'!H$36,0,D345-1)-SUM('Actual RAB roll forward'!H358:OFFSET('Actual RAB roll forward'!H358,0,Input!$Y$7-1))</f>
        <v>0</v>
      </c>
      <c r="F345" s="256">
        <f>IF(A25stdlife="N/A",0,IF(E345=0,0,A25stdlife+D345-Input!$Y$7))</f>
        <v>0</v>
      </c>
      <c r="G345" s="257"/>
      <c r="H345" s="256"/>
      <c r="I345" s="256"/>
      <c r="J345" s="256"/>
      <c r="K345" s="256"/>
      <c r="L345" s="256"/>
      <c r="M345" s="9"/>
      <c r="N345" s="9"/>
      <c r="O345" s="9"/>
      <c r="P345" s="9"/>
      <c r="Q345" s="9"/>
      <c r="R345" s="46"/>
      <c r="S345" s="46"/>
      <c r="T345" s="46"/>
      <c r="U345" s="46"/>
      <c r="V345" s="46"/>
      <c r="W345" s="46"/>
      <c r="X345" s="46"/>
      <c r="Y345" s="46"/>
    </row>
    <row r="346" spans="1:25" hidden="1" outlineLevel="1">
      <c r="A346" s="9"/>
      <c r="B346" s="9"/>
      <c r="C346" s="539"/>
      <c r="D346" s="87">
        <v>2</v>
      </c>
      <c r="E346" s="256">
        <f ca="1">OFFSET('Actual RAB roll forward'!H$36,0,D346-1)-SUM('Actual RAB roll forward'!H359:OFFSET('Actual RAB roll forward'!H359,0,Input!$Y$7-1))</f>
        <v>0</v>
      </c>
      <c r="F346" s="256">
        <f>IF(A25stdlife="N/A",0,IF(E346=0,0,A25stdlife+D346-Input!$Y$7))</f>
        <v>0</v>
      </c>
      <c r="G346" s="257"/>
      <c r="H346" s="256"/>
      <c r="I346" s="256"/>
      <c r="J346" s="256"/>
      <c r="K346" s="256"/>
      <c r="L346" s="256"/>
      <c r="M346" s="9"/>
      <c r="N346" s="9"/>
      <c r="O346" s="9"/>
      <c r="P346" s="9"/>
      <c r="Q346" s="9"/>
      <c r="R346" s="46"/>
      <c r="S346" s="46"/>
      <c r="T346" s="46"/>
      <c r="U346" s="46"/>
      <c r="V346" s="46"/>
      <c r="W346" s="46"/>
      <c r="X346" s="46"/>
      <c r="Y346" s="46"/>
    </row>
    <row r="347" spans="1:25" hidden="1" outlineLevel="1">
      <c r="A347" s="9"/>
      <c r="B347" s="9"/>
      <c r="C347" s="539"/>
      <c r="D347" s="87">
        <v>3</v>
      </c>
      <c r="E347" s="256">
        <f ca="1">OFFSET('Actual RAB roll forward'!H$36,0,D347-1)-SUM('Actual RAB roll forward'!H360:OFFSET('Actual RAB roll forward'!H360,0,Input!$Y$7-1))</f>
        <v>0</v>
      </c>
      <c r="F347" s="256">
        <f>IF(A25stdlife="N/A",0,IF(E347=0,0,A25stdlife+D347-Input!$Y$7))</f>
        <v>0</v>
      </c>
      <c r="G347" s="257"/>
      <c r="H347" s="256"/>
      <c r="I347" s="256"/>
      <c r="J347" s="256"/>
      <c r="K347" s="256"/>
      <c r="L347" s="256"/>
      <c r="M347" s="9"/>
      <c r="N347" s="9"/>
      <c r="O347" s="9"/>
      <c r="P347" s="9"/>
      <c r="Q347" s="9"/>
      <c r="R347" s="46"/>
      <c r="S347" s="46"/>
      <c r="T347" s="46"/>
      <c r="U347" s="46"/>
      <c r="V347" s="46"/>
      <c r="W347" s="46"/>
      <c r="X347" s="46"/>
      <c r="Y347" s="46"/>
    </row>
    <row r="348" spans="1:25" hidden="1" outlineLevel="1">
      <c r="A348" s="9"/>
      <c r="B348" s="9"/>
      <c r="C348" s="539"/>
      <c r="D348" s="87">
        <v>4</v>
      </c>
      <c r="E348" s="256">
        <f ca="1">OFFSET('Actual RAB roll forward'!H$36,0,D348-1)-SUM('Actual RAB roll forward'!H361:OFFSET('Actual RAB roll forward'!H361,0,Input!$Y$7-1))</f>
        <v>0</v>
      </c>
      <c r="F348" s="256">
        <f>IF(A25stdlife="N/A",0,IF(E348=0,0,A25stdlife+D348-Input!$Y$7))</f>
        <v>0</v>
      </c>
      <c r="G348" s="257"/>
      <c r="H348" s="256"/>
      <c r="I348" s="256"/>
      <c r="J348" s="256"/>
      <c r="K348" s="256"/>
      <c r="L348" s="256"/>
      <c r="M348" s="9"/>
      <c r="N348" s="9"/>
      <c r="O348" s="9"/>
      <c r="P348" s="9"/>
      <c r="Q348" s="9"/>
      <c r="R348" s="46"/>
      <c r="S348" s="46"/>
      <c r="T348" s="46"/>
      <c r="U348" s="46"/>
      <c r="V348" s="46"/>
      <c r="W348" s="46"/>
      <c r="X348" s="46"/>
      <c r="Y348" s="46"/>
    </row>
    <row r="349" spans="1:25" hidden="1" outlineLevel="1">
      <c r="A349" s="9"/>
      <c r="B349" s="9"/>
      <c r="C349" s="539"/>
      <c r="D349" s="87">
        <v>5</v>
      </c>
      <c r="E349" s="256">
        <f ca="1">OFFSET('Actual RAB roll forward'!H$36,0,D349-1)-SUM('Actual RAB roll forward'!H362:OFFSET('Actual RAB roll forward'!H362,0,Input!$Y$7-1))</f>
        <v>0</v>
      </c>
      <c r="F349" s="256">
        <f>IF(A25stdlife="N/A",0,IF(E349=0,0,A25stdlife+D349-Input!$Y$7))</f>
        <v>0</v>
      </c>
      <c r="G349" s="257"/>
      <c r="H349" s="256"/>
      <c r="I349" s="256"/>
      <c r="J349" s="256"/>
      <c r="K349" s="256"/>
      <c r="L349" s="256"/>
      <c r="M349" s="9"/>
      <c r="N349" s="9"/>
      <c r="O349" s="9"/>
      <c r="P349" s="9"/>
      <c r="Q349" s="9"/>
      <c r="R349" s="46"/>
      <c r="S349" s="46"/>
      <c r="T349" s="46"/>
      <c r="U349" s="46"/>
      <c r="V349" s="46"/>
      <c r="W349" s="46"/>
      <c r="X349" s="46"/>
      <c r="Y349" s="46"/>
    </row>
    <row r="350" spans="1:25" hidden="1" outlineLevel="1">
      <c r="A350" s="9"/>
      <c r="B350" s="9"/>
      <c r="C350" s="539"/>
      <c r="D350" s="87">
        <v>6</v>
      </c>
      <c r="E350" s="256">
        <f ca="1">OFFSET('Actual RAB roll forward'!H$36,0,D350-1)-SUM('Actual RAB roll forward'!H363:OFFSET('Actual RAB roll forward'!H363,0,Input!$Y$7-1))</f>
        <v>0</v>
      </c>
      <c r="F350" s="256">
        <f>IF(A25stdlife="N/A",0,IF(E350=0,0,A25stdlife+D350-Input!$Y$7))</f>
        <v>0</v>
      </c>
      <c r="G350" s="257"/>
      <c r="H350" s="256"/>
      <c r="I350" s="256"/>
      <c r="J350" s="256"/>
      <c r="K350" s="256"/>
      <c r="L350" s="256"/>
      <c r="M350" s="9"/>
      <c r="N350" s="9"/>
      <c r="O350" s="9"/>
      <c r="P350" s="9"/>
      <c r="Q350" s="9"/>
      <c r="R350" s="46"/>
      <c r="S350" s="46"/>
      <c r="T350" s="46"/>
      <c r="U350" s="46"/>
      <c r="V350" s="46"/>
      <c r="W350" s="46"/>
      <c r="X350" s="46"/>
      <c r="Y350" s="46"/>
    </row>
    <row r="351" spans="1:25" hidden="1" outlineLevel="1">
      <c r="A351" s="9"/>
      <c r="B351" s="9"/>
      <c r="C351" s="539"/>
      <c r="D351" s="87">
        <v>7</v>
      </c>
      <c r="E351" s="256">
        <f ca="1">OFFSET('Actual RAB roll forward'!H$36,0,D351-1)-SUM('Actual RAB roll forward'!H364:OFFSET('Actual RAB roll forward'!H364,0,Input!$Y$7-1))</f>
        <v>0</v>
      </c>
      <c r="F351" s="256">
        <f>IF(A25stdlife="N/A",0,IF(E351=0,0,A25stdlife+D351-Input!$Y$7))</f>
        <v>0</v>
      </c>
      <c r="G351" s="257"/>
      <c r="H351" s="256"/>
      <c r="I351" s="256"/>
      <c r="J351" s="256"/>
      <c r="K351" s="256"/>
      <c r="L351" s="256"/>
      <c r="M351" s="9"/>
      <c r="N351" s="9"/>
      <c r="O351" s="9"/>
      <c r="P351" s="9"/>
      <c r="Q351" s="9"/>
      <c r="R351" s="46"/>
      <c r="S351" s="46"/>
      <c r="T351" s="46"/>
      <c r="U351" s="46"/>
      <c r="V351" s="46"/>
      <c r="W351" s="46"/>
      <c r="X351" s="46"/>
      <c r="Y351" s="46"/>
    </row>
    <row r="352" spans="1:25" hidden="1" outlineLevel="1">
      <c r="A352" s="9"/>
      <c r="B352" s="9"/>
      <c r="C352" s="539"/>
      <c r="D352" s="87">
        <v>8</v>
      </c>
      <c r="E352" s="256">
        <f ca="1">OFFSET('Actual RAB roll forward'!H$36,0,D352-1)-SUM('Actual RAB roll forward'!H365:OFFSET('Actual RAB roll forward'!H365,0,Input!$Y$7-1))</f>
        <v>0</v>
      </c>
      <c r="F352" s="256">
        <f>IF(A25stdlife="N/A",0,IF(E352=0,0,A25stdlife+D352-Input!$Y$7))</f>
        <v>0</v>
      </c>
      <c r="G352" s="257"/>
      <c r="H352" s="256"/>
      <c r="I352" s="256"/>
      <c r="J352" s="256"/>
      <c r="K352" s="256"/>
      <c r="L352" s="256"/>
      <c r="M352" s="9"/>
      <c r="N352" s="9"/>
      <c r="O352" s="9"/>
      <c r="P352" s="9"/>
      <c r="Q352" s="9"/>
      <c r="R352" s="46"/>
      <c r="S352" s="46"/>
      <c r="T352" s="46"/>
      <c r="U352" s="46"/>
      <c r="V352" s="46"/>
      <c r="W352" s="46"/>
      <c r="X352" s="46"/>
      <c r="Y352" s="46"/>
    </row>
    <row r="353" spans="1:25" hidden="1" outlineLevel="1">
      <c r="A353" s="9"/>
      <c r="B353" s="9"/>
      <c r="C353" s="539"/>
      <c r="D353" s="87">
        <v>9</v>
      </c>
      <c r="E353" s="256">
        <f ca="1">OFFSET('Actual RAB roll forward'!H$36,0,D353-1)-SUM('Actual RAB roll forward'!H366:OFFSET('Actual RAB roll forward'!H366,0,Input!$Y$7-1))</f>
        <v>0</v>
      </c>
      <c r="F353" s="256">
        <f>IF(A25stdlife="N/A",0,IF(E353=0,0,A25stdlife+D353-Input!$Y$7))</f>
        <v>0</v>
      </c>
      <c r="G353" s="257"/>
      <c r="H353" s="256"/>
      <c r="I353" s="256"/>
      <c r="J353" s="256"/>
      <c r="K353" s="256"/>
      <c r="L353" s="256"/>
      <c r="M353" s="9"/>
      <c r="N353" s="9"/>
      <c r="O353" s="9"/>
      <c r="P353" s="9"/>
      <c r="Q353" s="9"/>
      <c r="R353" s="46"/>
      <c r="S353" s="46"/>
      <c r="T353" s="46"/>
      <c r="U353" s="46"/>
      <c r="V353" s="46"/>
      <c r="W353" s="46"/>
      <c r="X353" s="46"/>
      <c r="Y353" s="46"/>
    </row>
    <row r="354" spans="1:25" hidden="1" outlineLevel="1">
      <c r="A354" s="9"/>
      <c r="B354" s="9"/>
      <c r="C354" s="540"/>
      <c r="D354" s="88">
        <v>10</v>
      </c>
      <c r="E354" s="256">
        <f ca="1">OFFSET('Actual RAB roll forward'!H$36,0,D354-1)-SUM('Actual RAB roll forward'!H367:OFFSET('Actual RAB roll forward'!H367,0,Input!$Y$7-1))</f>
        <v>0</v>
      </c>
      <c r="F354" s="256">
        <f>IF(A25stdlife="N/A",0,IF(E354=0,0,A25stdlife+D354-Input!$Y$7))</f>
        <v>0</v>
      </c>
      <c r="G354" s="257"/>
      <c r="H354" s="256"/>
      <c r="I354" s="256"/>
      <c r="J354" s="256"/>
      <c r="K354" s="256"/>
      <c r="L354" s="256"/>
      <c r="M354" s="9"/>
      <c r="N354" s="9"/>
      <c r="O354" s="9"/>
      <c r="P354" s="9"/>
      <c r="Q354" s="9"/>
      <c r="R354" s="46"/>
      <c r="S354" s="46"/>
      <c r="T354" s="46"/>
      <c r="U354" s="46"/>
      <c r="V354" s="46"/>
      <c r="W354" s="46"/>
      <c r="X354" s="46"/>
      <c r="Y354" s="46"/>
    </row>
    <row r="355" spans="1:25" collapsed="1">
      <c r="A355" s="9"/>
      <c r="B355" s="9"/>
      <c r="C355" s="264">
        <f>Asset25</f>
        <v>0</v>
      </c>
      <c r="D355" s="9"/>
      <c r="E355" s="256">
        <f ca="1">SUM(E344:E354)</f>
        <v>0</v>
      </c>
      <c r="F355" s="256"/>
      <c r="G355" s="257"/>
      <c r="H355" s="256"/>
      <c r="I355" s="256"/>
      <c r="J355" s="256"/>
      <c r="K355" s="256"/>
      <c r="L355" s="256"/>
      <c r="M355" s="9"/>
      <c r="N355" s="9"/>
      <c r="O355" s="9"/>
      <c r="P355" s="9"/>
      <c r="Q355" s="9"/>
      <c r="R355" s="46"/>
      <c r="S355" s="46"/>
      <c r="T355" s="46"/>
      <c r="U355" s="46"/>
      <c r="V355" s="46"/>
      <c r="W355" s="46"/>
      <c r="X355" s="46"/>
      <c r="Y355" s="46"/>
    </row>
    <row r="356" spans="1:25" hidden="1" outlineLevel="1">
      <c r="A356" s="9"/>
      <c r="B356" s="255"/>
      <c r="C356" s="9"/>
      <c r="D356" s="9"/>
      <c r="E356" s="37"/>
      <c r="F356" s="37"/>
      <c r="G356" s="257"/>
      <c r="H356" s="37"/>
      <c r="I356" s="37"/>
      <c r="J356" s="37"/>
      <c r="K356" s="37"/>
      <c r="L356" s="37"/>
      <c r="M356" s="9"/>
      <c r="N356" s="9"/>
      <c r="O356" s="9"/>
      <c r="P356" s="9"/>
      <c r="Q356" s="9"/>
      <c r="R356" s="46"/>
      <c r="S356" s="46"/>
      <c r="T356" s="46"/>
      <c r="U356" s="46"/>
      <c r="V356" s="46"/>
      <c r="W356" s="46"/>
      <c r="X356" s="46"/>
      <c r="Y356" s="46"/>
    </row>
    <row r="357" spans="1:25" hidden="1" outlineLevel="1">
      <c r="A357" s="9"/>
      <c r="B357" s="255">
        <f>Asset26</f>
        <v>0</v>
      </c>
      <c r="C357" s="9"/>
      <c r="D357" s="9"/>
      <c r="E357" s="37"/>
      <c r="F357" s="37"/>
      <c r="G357" s="257"/>
      <c r="H357" s="37"/>
      <c r="I357" s="37"/>
      <c r="J357" s="37"/>
      <c r="K357" s="37"/>
      <c r="L357" s="37"/>
      <c r="M357" s="9"/>
      <c r="N357" s="9"/>
      <c r="O357" s="9"/>
      <c r="P357" s="9"/>
      <c r="Q357" s="9"/>
      <c r="R357" s="46"/>
      <c r="S357" s="46"/>
      <c r="T357" s="46"/>
      <c r="U357" s="46"/>
      <c r="V357" s="46"/>
      <c r="W357" s="46"/>
      <c r="X357" s="46"/>
      <c r="Y357" s="46"/>
    </row>
    <row r="358" spans="1:25" ht="12.75" hidden="1" customHeight="1" outlineLevel="1">
      <c r="A358" s="9"/>
      <c r="B358" s="9"/>
      <c r="C358" s="541" t="s">
        <v>28</v>
      </c>
      <c r="D358" s="542"/>
      <c r="E358" s="256">
        <f ca="1">A26value-SUM('Actual RAB roll forward'!H369:OFFSET('Actual RAB roll forward'!H369,0,Input!$Y$7-1))</f>
        <v>0</v>
      </c>
      <c r="F358" s="256">
        <f>IF(A26remlife="N/A",0,A26remlife-Input!$Y$7)</f>
        <v>0</v>
      </c>
      <c r="G358" s="257"/>
      <c r="H358" s="256"/>
      <c r="I358" s="256"/>
      <c r="J358" s="256"/>
      <c r="K358" s="256"/>
      <c r="L358" s="256"/>
      <c r="M358" s="9"/>
      <c r="N358" s="9"/>
      <c r="O358" s="9"/>
      <c r="P358" s="9"/>
      <c r="Q358" s="9"/>
      <c r="R358" s="46"/>
      <c r="S358" s="46"/>
      <c r="T358" s="46"/>
      <c r="U358" s="46"/>
      <c r="V358" s="46"/>
      <c r="W358" s="46"/>
      <c r="X358" s="46"/>
      <c r="Y358" s="46"/>
    </row>
    <row r="359" spans="1:25" ht="12.75" hidden="1" customHeight="1" outlineLevel="1">
      <c r="A359" s="9"/>
      <c r="B359" s="9"/>
      <c r="C359" s="538" t="s">
        <v>86</v>
      </c>
      <c r="D359" s="87">
        <v>1</v>
      </c>
      <c r="E359" s="256">
        <f ca="1">OFFSET('Actual RAB roll forward'!H$37,0,D359-1)-SUM('Actual RAB roll forward'!H371:OFFSET('Actual RAB roll forward'!H371,0,Input!$Y$7-1))</f>
        <v>0</v>
      </c>
      <c r="F359" s="256">
        <f>IF(A26stdlife="N/A",0,IF(E359=0,0,A26stdlife+D359-Input!$Y$7))</f>
        <v>0</v>
      </c>
      <c r="G359" s="257"/>
      <c r="H359" s="256"/>
      <c r="I359" s="256"/>
      <c r="J359" s="256"/>
      <c r="K359" s="256"/>
      <c r="L359" s="256"/>
      <c r="M359" s="9"/>
      <c r="N359" s="9"/>
      <c r="O359" s="9"/>
      <c r="P359" s="9"/>
      <c r="Q359" s="9"/>
      <c r="R359" s="46"/>
      <c r="S359" s="46"/>
      <c r="T359" s="46"/>
      <c r="U359" s="46"/>
      <c r="V359" s="46"/>
      <c r="W359" s="46"/>
      <c r="X359" s="46"/>
      <c r="Y359" s="46"/>
    </row>
    <row r="360" spans="1:25" hidden="1" outlineLevel="1">
      <c r="A360" s="9"/>
      <c r="B360" s="9"/>
      <c r="C360" s="539"/>
      <c r="D360" s="87">
        <v>2</v>
      </c>
      <c r="E360" s="256">
        <f ca="1">OFFSET('Actual RAB roll forward'!H$37,0,D360-1)-SUM('Actual RAB roll forward'!H372:OFFSET('Actual RAB roll forward'!H372,0,Input!$Y$7-1))</f>
        <v>0</v>
      </c>
      <c r="F360" s="256">
        <f>IF(A26stdlife="N/A",0,IF(E360=0,0,A26stdlife+D360-Input!$Y$7))</f>
        <v>0</v>
      </c>
      <c r="G360" s="257"/>
      <c r="H360" s="256"/>
      <c r="I360" s="256"/>
      <c r="J360" s="256"/>
      <c r="K360" s="256"/>
      <c r="L360" s="256"/>
      <c r="M360" s="9"/>
      <c r="N360" s="9"/>
      <c r="O360" s="9"/>
      <c r="P360" s="9"/>
      <c r="Q360" s="9"/>
      <c r="R360" s="46"/>
      <c r="S360" s="46"/>
      <c r="T360" s="46"/>
      <c r="U360" s="46"/>
      <c r="V360" s="46"/>
      <c r="W360" s="46"/>
      <c r="X360" s="46"/>
      <c r="Y360" s="46"/>
    </row>
    <row r="361" spans="1:25" hidden="1" outlineLevel="1">
      <c r="A361" s="9"/>
      <c r="B361" s="9"/>
      <c r="C361" s="539"/>
      <c r="D361" s="87">
        <v>3</v>
      </c>
      <c r="E361" s="256">
        <f ca="1">OFFSET('Actual RAB roll forward'!H$37,0,D361-1)-SUM('Actual RAB roll forward'!H373:OFFSET('Actual RAB roll forward'!H373,0,Input!$Y$7-1))</f>
        <v>0</v>
      </c>
      <c r="F361" s="256">
        <f>IF(A26stdlife="N/A",0,IF(E361=0,0,A26stdlife+D361-Input!$Y$7))</f>
        <v>0</v>
      </c>
      <c r="G361" s="257"/>
      <c r="H361" s="256"/>
      <c r="I361" s="256"/>
      <c r="J361" s="256"/>
      <c r="K361" s="256"/>
      <c r="L361" s="256"/>
      <c r="M361" s="9"/>
      <c r="N361" s="9"/>
      <c r="O361" s="9"/>
      <c r="P361" s="9"/>
      <c r="Q361" s="9"/>
      <c r="R361" s="46"/>
      <c r="S361" s="46"/>
      <c r="T361" s="46"/>
      <c r="U361" s="46"/>
      <c r="V361" s="46"/>
      <c r="W361" s="46"/>
      <c r="X361" s="46"/>
      <c r="Y361" s="46"/>
    </row>
    <row r="362" spans="1:25" hidden="1" outlineLevel="1">
      <c r="A362" s="9"/>
      <c r="B362" s="9"/>
      <c r="C362" s="539"/>
      <c r="D362" s="87">
        <v>4</v>
      </c>
      <c r="E362" s="256">
        <f ca="1">OFFSET('Actual RAB roll forward'!H$37,0,D362-1)-SUM('Actual RAB roll forward'!H374:OFFSET('Actual RAB roll forward'!H374,0,Input!$Y$7-1))</f>
        <v>0</v>
      </c>
      <c r="F362" s="256">
        <f>IF(A26stdlife="N/A",0,IF(E362=0,0,A26stdlife+D362-Input!$Y$7))</f>
        <v>0</v>
      </c>
      <c r="G362" s="257"/>
      <c r="H362" s="256"/>
      <c r="I362" s="256"/>
      <c r="J362" s="256"/>
      <c r="K362" s="256"/>
      <c r="L362" s="256"/>
      <c r="M362" s="9"/>
      <c r="N362" s="9"/>
      <c r="O362" s="9"/>
      <c r="P362" s="9"/>
      <c r="Q362" s="9"/>
      <c r="R362" s="46"/>
      <c r="S362" s="46"/>
      <c r="T362" s="46"/>
      <c r="U362" s="46"/>
      <c r="V362" s="46"/>
      <c r="W362" s="46"/>
      <c r="X362" s="46"/>
      <c r="Y362" s="46"/>
    </row>
    <row r="363" spans="1:25" hidden="1" outlineLevel="1">
      <c r="A363" s="9"/>
      <c r="B363" s="9"/>
      <c r="C363" s="539"/>
      <c r="D363" s="87">
        <v>5</v>
      </c>
      <c r="E363" s="256">
        <f ca="1">OFFSET('Actual RAB roll forward'!H$37,0,D363-1)-SUM('Actual RAB roll forward'!H375:OFFSET('Actual RAB roll forward'!H375,0,Input!$Y$7-1))</f>
        <v>0</v>
      </c>
      <c r="F363" s="256">
        <f>IF(A26stdlife="N/A",0,IF(E363=0,0,A26stdlife+D363-Input!$Y$7))</f>
        <v>0</v>
      </c>
      <c r="G363" s="257"/>
      <c r="H363" s="256"/>
      <c r="I363" s="256"/>
      <c r="J363" s="256"/>
      <c r="K363" s="256"/>
      <c r="L363" s="256"/>
      <c r="M363" s="9"/>
      <c r="N363" s="9"/>
      <c r="O363" s="9"/>
      <c r="P363" s="9"/>
      <c r="Q363" s="9"/>
      <c r="R363" s="46"/>
      <c r="S363" s="46"/>
      <c r="T363" s="46"/>
      <c r="U363" s="46"/>
      <c r="V363" s="46"/>
      <c r="W363" s="46"/>
      <c r="X363" s="46"/>
      <c r="Y363" s="46"/>
    </row>
    <row r="364" spans="1:25" hidden="1" outlineLevel="1">
      <c r="A364" s="9"/>
      <c r="B364" s="9"/>
      <c r="C364" s="539"/>
      <c r="D364" s="87">
        <v>6</v>
      </c>
      <c r="E364" s="256">
        <f ca="1">OFFSET('Actual RAB roll forward'!H$37,0,D364-1)-SUM('Actual RAB roll forward'!H376:OFFSET('Actual RAB roll forward'!H376,0,Input!$Y$7-1))</f>
        <v>0</v>
      </c>
      <c r="F364" s="256">
        <f>IF(A26stdlife="N/A",0,IF(E364=0,0,A26stdlife+D364-Input!$Y$7))</f>
        <v>0</v>
      </c>
      <c r="G364" s="257"/>
      <c r="H364" s="256"/>
      <c r="I364" s="256"/>
      <c r="J364" s="256"/>
      <c r="K364" s="256"/>
      <c r="L364" s="256"/>
      <c r="M364" s="9"/>
      <c r="N364" s="9"/>
      <c r="O364" s="9"/>
      <c r="P364" s="9"/>
      <c r="Q364" s="9"/>
      <c r="R364" s="46"/>
      <c r="S364" s="46"/>
      <c r="T364" s="46"/>
      <c r="U364" s="46"/>
      <c r="V364" s="46"/>
      <c r="W364" s="46"/>
      <c r="X364" s="46"/>
      <c r="Y364" s="46"/>
    </row>
    <row r="365" spans="1:25" hidden="1" outlineLevel="1">
      <c r="A365" s="9"/>
      <c r="B365" s="9"/>
      <c r="C365" s="539"/>
      <c r="D365" s="87">
        <v>7</v>
      </c>
      <c r="E365" s="256">
        <f ca="1">OFFSET('Actual RAB roll forward'!H$37,0,D365-1)-SUM('Actual RAB roll forward'!H377:OFFSET('Actual RAB roll forward'!H377,0,Input!$Y$7-1))</f>
        <v>0</v>
      </c>
      <c r="F365" s="256">
        <f>IF(A26stdlife="N/A",0,IF(E365=0,0,A26stdlife+D365-Input!$Y$7))</f>
        <v>0</v>
      </c>
      <c r="G365" s="257"/>
      <c r="H365" s="256"/>
      <c r="I365" s="256"/>
      <c r="J365" s="256"/>
      <c r="K365" s="256"/>
      <c r="L365" s="256"/>
      <c r="M365" s="9"/>
      <c r="N365" s="9"/>
      <c r="O365" s="9"/>
      <c r="P365" s="9"/>
      <c r="Q365" s="9"/>
      <c r="R365" s="46"/>
      <c r="S365" s="46"/>
      <c r="T365" s="46"/>
      <c r="U365" s="46"/>
      <c r="V365" s="46"/>
      <c r="W365" s="46"/>
      <c r="X365" s="46"/>
      <c r="Y365" s="46"/>
    </row>
    <row r="366" spans="1:25" hidden="1" outlineLevel="1">
      <c r="A366" s="9"/>
      <c r="B366" s="9"/>
      <c r="C366" s="539"/>
      <c r="D366" s="87">
        <v>8</v>
      </c>
      <c r="E366" s="256">
        <f ca="1">OFFSET('Actual RAB roll forward'!H$37,0,D366-1)-SUM('Actual RAB roll forward'!H378:OFFSET('Actual RAB roll forward'!H378,0,Input!$Y$7-1))</f>
        <v>0</v>
      </c>
      <c r="F366" s="256">
        <f>IF(A26stdlife="N/A",0,IF(E366=0,0,A26stdlife+D366-Input!$Y$7))</f>
        <v>0</v>
      </c>
      <c r="G366" s="257"/>
      <c r="H366" s="256"/>
      <c r="I366" s="256"/>
      <c r="J366" s="256"/>
      <c r="K366" s="256"/>
      <c r="L366" s="256"/>
      <c r="M366" s="9"/>
      <c r="N366" s="9"/>
      <c r="O366" s="9"/>
      <c r="P366" s="9"/>
      <c r="Q366" s="9"/>
      <c r="R366" s="46"/>
      <c r="S366" s="46"/>
      <c r="T366" s="46"/>
      <c r="U366" s="46"/>
      <c r="V366" s="46"/>
      <c r="W366" s="46"/>
      <c r="X366" s="46"/>
      <c r="Y366" s="46"/>
    </row>
    <row r="367" spans="1:25" hidden="1" outlineLevel="1">
      <c r="A367" s="9"/>
      <c r="B367" s="9"/>
      <c r="C367" s="539"/>
      <c r="D367" s="87">
        <v>9</v>
      </c>
      <c r="E367" s="256">
        <f ca="1">OFFSET('Actual RAB roll forward'!H$37,0,D367-1)-SUM('Actual RAB roll forward'!H379:OFFSET('Actual RAB roll forward'!H379,0,Input!$Y$7-1))</f>
        <v>0</v>
      </c>
      <c r="F367" s="256">
        <f>IF(A26stdlife="N/A",0,IF(E367=0,0,A26stdlife+D367-Input!$Y$7))</f>
        <v>0</v>
      </c>
      <c r="G367" s="257"/>
      <c r="H367" s="256"/>
      <c r="I367" s="256"/>
      <c r="J367" s="256"/>
      <c r="K367" s="256"/>
      <c r="L367" s="256"/>
      <c r="M367" s="9"/>
      <c r="N367" s="9"/>
      <c r="O367" s="9"/>
      <c r="P367" s="9"/>
      <c r="Q367" s="9"/>
      <c r="R367" s="46"/>
      <c r="S367" s="46"/>
      <c r="T367" s="46"/>
      <c r="U367" s="46"/>
      <c r="V367" s="46"/>
      <c r="W367" s="46"/>
      <c r="X367" s="46"/>
      <c r="Y367" s="46"/>
    </row>
    <row r="368" spans="1:25" hidden="1" outlineLevel="1">
      <c r="A368" s="9"/>
      <c r="B368" s="9"/>
      <c r="C368" s="540"/>
      <c r="D368" s="88">
        <v>10</v>
      </c>
      <c r="E368" s="256">
        <f ca="1">OFFSET('Actual RAB roll forward'!H$37,0,D368-1)-SUM('Actual RAB roll forward'!H380:OFFSET('Actual RAB roll forward'!H380,0,Input!$Y$7-1))</f>
        <v>0</v>
      </c>
      <c r="F368" s="256">
        <f>IF(A26stdlife="N/A",0,IF(E368=0,0,A26stdlife+D368-Input!$Y$7))</f>
        <v>0</v>
      </c>
      <c r="G368" s="257"/>
      <c r="H368" s="256"/>
      <c r="I368" s="256"/>
      <c r="J368" s="256"/>
      <c r="K368" s="256"/>
      <c r="L368" s="256"/>
      <c r="M368" s="9"/>
      <c r="N368" s="9"/>
      <c r="O368" s="9"/>
      <c r="P368" s="9"/>
      <c r="Q368" s="9"/>
      <c r="R368" s="46"/>
      <c r="S368" s="46"/>
      <c r="T368" s="46"/>
      <c r="U368" s="46"/>
      <c r="V368" s="46"/>
      <c r="W368" s="46"/>
      <c r="X368" s="46"/>
      <c r="Y368" s="46"/>
    </row>
    <row r="369" spans="1:25" collapsed="1">
      <c r="A369" s="9"/>
      <c r="B369" s="9"/>
      <c r="C369" s="264">
        <f>Asset26</f>
        <v>0</v>
      </c>
      <c r="D369" s="9"/>
      <c r="E369" s="256">
        <f ca="1">SUM(E358:E368)</f>
        <v>0</v>
      </c>
      <c r="F369" s="256"/>
      <c r="G369" s="257"/>
      <c r="H369" s="256"/>
      <c r="I369" s="256"/>
      <c r="J369" s="256"/>
      <c r="K369" s="256"/>
      <c r="L369" s="256"/>
      <c r="M369" s="9"/>
      <c r="N369" s="9"/>
      <c r="O369" s="9"/>
      <c r="P369" s="9"/>
      <c r="Q369" s="9"/>
      <c r="R369" s="46"/>
      <c r="S369" s="46"/>
      <c r="T369" s="46"/>
      <c r="U369" s="46"/>
      <c r="V369" s="46"/>
      <c r="W369" s="46"/>
      <c r="X369" s="46"/>
      <c r="Y369" s="46"/>
    </row>
    <row r="370" spans="1:25" hidden="1" outlineLevel="1">
      <c r="A370" s="9"/>
      <c r="B370" s="255"/>
      <c r="C370" s="9"/>
      <c r="D370" s="9"/>
      <c r="E370" s="37"/>
      <c r="F370" s="37"/>
      <c r="G370" s="257"/>
      <c r="H370" s="37"/>
      <c r="I370" s="37"/>
      <c r="J370" s="37"/>
      <c r="K370" s="37"/>
      <c r="L370" s="37"/>
      <c r="M370" s="9"/>
      <c r="N370" s="9"/>
      <c r="O370" s="9"/>
      <c r="P370" s="9"/>
      <c r="Q370" s="9"/>
      <c r="R370" s="46"/>
      <c r="S370" s="46"/>
      <c r="T370" s="46"/>
      <c r="U370" s="46"/>
      <c r="V370" s="46"/>
      <c r="W370" s="46"/>
      <c r="X370" s="46"/>
      <c r="Y370" s="46"/>
    </row>
    <row r="371" spans="1:25" hidden="1" outlineLevel="1">
      <c r="A371" s="9"/>
      <c r="B371" s="255">
        <f>Asset27</f>
        <v>0</v>
      </c>
      <c r="C371" s="9"/>
      <c r="D371" s="9"/>
      <c r="E371" s="37"/>
      <c r="F371" s="37"/>
      <c r="G371" s="257"/>
      <c r="H371" s="37"/>
      <c r="I371" s="37"/>
      <c r="J371" s="37"/>
      <c r="K371" s="37"/>
      <c r="L371" s="37"/>
      <c r="M371" s="9"/>
      <c r="N371" s="9"/>
      <c r="O371" s="9"/>
      <c r="P371" s="9"/>
      <c r="Q371" s="9"/>
      <c r="R371" s="46"/>
      <c r="S371" s="46"/>
      <c r="T371" s="46"/>
      <c r="U371" s="46"/>
      <c r="V371" s="46"/>
      <c r="W371" s="46"/>
      <c r="X371" s="46"/>
      <c r="Y371" s="46"/>
    </row>
    <row r="372" spans="1:25" ht="12.75" hidden="1" customHeight="1" outlineLevel="1">
      <c r="A372" s="9"/>
      <c r="B372" s="9"/>
      <c r="C372" s="541" t="s">
        <v>28</v>
      </c>
      <c r="D372" s="542"/>
      <c r="E372" s="256">
        <f ca="1">A27value-SUM('Actual RAB roll forward'!H382:OFFSET('Actual RAB roll forward'!H382,0,Input!$Y$7-1))</f>
        <v>0</v>
      </c>
      <c r="F372" s="256">
        <f>IF(A27remlife="N/A",0,A27remlife-Input!$Y$7)</f>
        <v>0</v>
      </c>
      <c r="G372" s="257"/>
      <c r="H372" s="256"/>
      <c r="I372" s="256"/>
      <c r="J372" s="256"/>
      <c r="K372" s="256"/>
      <c r="L372" s="256"/>
      <c r="M372" s="9"/>
      <c r="N372" s="9"/>
      <c r="O372" s="9"/>
      <c r="P372" s="9"/>
      <c r="Q372" s="9"/>
      <c r="R372" s="46"/>
      <c r="S372" s="46"/>
      <c r="T372" s="46"/>
      <c r="U372" s="46"/>
      <c r="V372" s="46"/>
      <c r="W372" s="46"/>
      <c r="X372" s="46"/>
      <c r="Y372" s="46"/>
    </row>
    <row r="373" spans="1:25" ht="12.75" hidden="1" customHeight="1" outlineLevel="1">
      <c r="A373" s="9"/>
      <c r="B373" s="9"/>
      <c r="C373" s="538" t="s">
        <v>86</v>
      </c>
      <c r="D373" s="87">
        <v>1</v>
      </c>
      <c r="E373" s="256">
        <f ca="1">OFFSET('Actual RAB roll forward'!H$38,0,D373-1)-SUM('Actual RAB roll forward'!H384:OFFSET('Actual RAB roll forward'!H384,0,Input!$Y$7-1))</f>
        <v>0</v>
      </c>
      <c r="F373" s="256">
        <f>IF(A27stdlife="N/A",0,IF(E373=0,0,A27stdlife+D373-Input!$Y$7))</f>
        <v>0</v>
      </c>
      <c r="G373" s="257"/>
      <c r="H373" s="256"/>
      <c r="I373" s="256"/>
      <c r="J373" s="256"/>
      <c r="K373" s="256"/>
      <c r="L373" s="256"/>
      <c r="M373" s="9"/>
      <c r="N373" s="9"/>
      <c r="O373" s="9"/>
      <c r="P373" s="9"/>
      <c r="Q373" s="9"/>
      <c r="R373" s="46"/>
      <c r="S373" s="46"/>
      <c r="T373" s="46"/>
      <c r="U373" s="46"/>
      <c r="V373" s="46"/>
      <c r="W373" s="46"/>
      <c r="X373" s="46"/>
      <c r="Y373" s="46"/>
    </row>
    <row r="374" spans="1:25" hidden="1" outlineLevel="1">
      <c r="A374" s="9"/>
      <c r="B374" s="9"/>
      <c r="C374" s="539"/>
      <c r="D374" s="87">
        <v>2</v>
      </c>
      <c r="E374" s="256">
        <f ca="1">OFFSET('Actual RAB roll forward'!H$38,0,D374-1)-SUM('Actual RAB roll forward'!H385:OFFSET('Actual RAB roll forward'!H385,0,Input!$Y$7-1))</f>
        <v>0</v>
      </c>
      <c r="F374" s="256">
        <f>IF(A27stdlife="N/A",0,IF(E374=0,0,A27stdlife+D374-Input!$Y$7))</f>
        <v>0</v>
      </c>
      <c r="G374" s="257"/>
      <c r="H374" s="256"/>
      <c r="I374" s="256"/>
      <c r="J374" s="256"/>
      <c r="K374" s="256"/>
      <c r="L374" s="256"/>
      <c r="M374" s="9"/>
      <c r="N374" s="9"/>
      <c r="O374" s="9"/>
      <c r="P374" s="9"/>
      <c r="Q374" s="9"/>
      <c r="R374" s="46"/>
      <c r="S374" s="46"/>
      <c r="T374" s="46"/>
      <c r="U374" s="46"/>
      <c r="V374" s="46"/>
      <c r="W374" s="46"/>
      <c r="X374" s="46"/>
      <c r="Y374" s="46"/>
    </row>
    <row r="375" spans="1:25" hidden="1" outlineLevel="1">
      <c r="A375" s="9"/>
      <c r="B375" s="9"/>
      <c r="C375" s="539"/>
      <c r="D375" s="87">
        <v>3</v>
      </c>
      <c r="E375" s="256">
        <f ca="1">OFFSET('Actual RAB roll forward'!H$38,0,D375-1)-SUM('Actual RAB roll forward'!H386:OFFSET('Actual RAB roll forward'!H386,0,Input!$Y$7-1))</f>
        <v>0</v>
      </c>
      <c r="F375" s="256">
        <f>IF(A27stdlife="N/A",0,IF(E375=0,0,A27stdlife+D375-Input!$Y$7))</f>
        <v>0</v>
      </c>
      <c r="G375" s="257"/>
      <c r="H375" s="256"/>
      <c r="I375" s="256"/>
      <c r="J375" s="256"/>
      <c r="K375" s="256"/>
      <c r="L375" s="256"/>
      <c r="M375" s="9"/>
      <c r="N375" s="9"/>
      <c r="O375" s="9"/>
      <c r="P375" s="9"/>
      <c r="Q375" s="9"/>
      <c r="R375" s="46"/>
      <c r="S375" s="46"/>
      <c r="T375" s="46"/>
      <c r="U375" s="46"/>
      <c r="V375" s="46"/>
      <c r="W375" s="46"/>
      <c r="X375" s="46"/>
      <c r="Y375" s="46"/>
    </row>
    <row r="376" spans="1:25" hidden="1" outlineLevel="1">
      <c r="A376" s="9"/>
      <c r="B376" s="9"/>
      <c r="C376" s="539"/>
      <c r="D376" s="87">
        <v>4</v>
      </c>
      <c r="E376" s="256">
        <f ca="1">OFFSET('Actual RAB roll forward'!H$38,0,D376-1)-SUM('Actual RAB roll forward'!H387:OFFSET('Actual RAB roll forward'!H387,0,Input!$Y$7-1))</f>
        <v>0</v>
      </c>
      <c r="F376" s="256">
        <f>IF(A27stdlife="N/A",0,IF(E376=0,0,A27stdlife+D376-Input!$Y$7))</f>
        <v>0</v>
      </c>
      <c r="G376" s="257"/>
      <c r="H376" s="256"/>
      <c r="I376" s="256"/>
      <c r="J376" s="256"/>
      <c r="K376" s="256"/>
      <c r="L376" s="256"/>
      <c r="M376" s="9"/>
      <c r="N376" s="9"/>
      <c r="O376" s="9"/>
      <c r="P376" s="9"/>
      <c r="Q376" s="9"/>
      <c r="R376" s="46"/>
      <c r="S376" s="46"/>
      <c r="T376" s="46"/>
      <c r="U376" s="46"/>
      <c r="V376" s="46"/>
      <c r="W376" s="46"/>
      <c r="X376" s="46"/>
      <c r="Y376" s="46"/>
    </row>
    <row r="377" spans="1:25" hidden="1" outlineLevel="1">
      <c r="A377" s="9"/>
      <c r="B377" s="9"/>
      <c r="C377" s="539"/>
      <c r="D377" s="87">
        <v>5</v>
      </c>
      <c r="E377" s="256">
        <f ca="1">OFFSET('Actual RAB roll forward'!H$38,0,D377-1)-SUM('Actual RAB roll forward'!H388:OFFSET('Actual RAB roll forward'!H388,0,Input!$Y$7-1))</f>
        <v>0</v>
      </c>
      <c r="F377" s="256">
        <f>IF(A27stdlife="N/A",0,IF(E377=0,0,A27stdlife+D377-Input!$Y$7))</f>
        <v>0</v>
      </c>
      <c r="G377" s="257"/>
      <c r="H377" s="256"/>
      <c r="I377" s="256"/>
      <c r="J377" s="256"/>
      <c r="K377" s="256"/>
      <c r="L377" s="256"/>
      <c r="M377" s="9"/>
      <c r="N377" s="9"/>
      <c r="O377" s="9"/>
      <c r="P377" s="9"/>
      <c r="Q377" s="9"/>
      <c r="R377" s="46"/>
      <c r="S377" s="46"/>
      <c r="T377" s="46"/>
      <c r="U377" s="46"/>
      <c r="V377" s="46"/>
      <c r="W377" s="46"/>
      <c r="X377" s="46"/>
      <c r="Y377" s="46"/>
    </row>
    <row r="378" spans="1:25" hidden="1" outlineLevel="1">
      <c r="A378" s="9"/>
      <c r="B378" s="9"/>
      <c r="C378" s="539"/>
      <c r="D378" s="87">
        <v>6</v>
      </c>
      <c r="E378" s="256">
        <f ca="1">OFFSET('Actual RAB roll forward'!H$38,0,D378-1)-SUM('Actual RAB roll forward'!H389:OFFSET('Actual RAB roll forward'!H389,0,Input!$Y$7-1))</f>
        <v>0</v>
      </c>
      <c r="F378" s="256">
        <f>IF(A27stdlife="N/A",0,IF(E378=0,0,A27stdlife+D378-Input!$Y$7))</f>
        <v>0</v>
      </c>
      <c r="G378" s="257"/>
      <c r="H378" s="256"/>
      <c r="I378" s="256"/>
      <c r="J378" s="256"/>
      <c r="K378" s="256"/>
      <c r="L378" s="256"/>
      <c r="M378" s="9"/>
      <c r="N378" s="9"/>
      <c r="O378" s="9"/>
      <c r="P378" s="9"/>
      <c r="Q378" s="9"/>
      <c r="R378" s="46"/>
      <c r="S378" s="46"/>
      <c r="T378" s="46"/>
      <c r="U378" s="46"/>
      <c r="V378" s="46"/>
      <c r="W378" s="46"/>
      <c r="X378" s="46"/>
      <c r="Y378" s="46"/>
    </row>
    <row r="379" spans="1:25" hidden="1" outlineLevel="1">
      <c r="A379" s="9"/>
      <c r="B379" s="9"/>
      <c r="C379" s="539"/>
      <c r="D379" s="87">
        <v>7</v>
      </c>
      <c r="E379" s="256">
        <f ca="1">OFFSET('Actual RAB roll forward'!H$38,0,D379-1)-SUM('Actual RAB roll forward'!H390:OFFSET('Actual RAB roll forward'!H390,0,Input!$Y$7-1))</f>
        <v>0</v>
      </c>
      <c r="F379" s="256">
        <f>IF(A27stdlife="N/A",0,IF(E379=0,0,A27stdlife+D379-Input!$Y$7))</f>
        <v>0</v>
      </c>
      <c r="G379" s="257"/>
      <c r="H379" s="256"/>
      <c r="I379" s="256"/>
      <c r="J379" s="256"/>
      <c r="K379" s="256"/>
      <c r="L379" s="256"/>
      <c r="M379" s="9"/>
      <c r="N379" s="9"/>
      <c r="O379" s="9"/>
      <c r="P379" s="9"/>
      <c r="Q379" s="9"/>
      <c r="R379" s="46"/>
      <c r="S379" s="46"/>
      <c r="T379" s="46"/>
      <c r="U379" s="46"/>
      <c r="V379" s="46"/>
      <c r="W379" s="46"/>
      <c r="X379" s="46"/>
      <c r="Y379" s="46"/>
    </row>
    <row r="380" spans="1:25" hidden="1" outlineLevel="1">
      <c r="A380" s="9"/>
      <c r="B380" s="9"/>
      <c r="C380" s="539"/>
      <c r="D380" s="87">
        <v>8</v>
      </c>
      <c r="E380" s="256">
        <f ca="1">OFFSET('Actual RAB roll forward'!H$38,0,D380-1)-SUM('Actual RAB roll forward'!H391:OFFSET('Actual RAB roll forward'!H391,0,Input!$Y$7-1))</f>
        <v>0</v>
      </c>
      <c r="F380" s="256">
        <f>IF(A27stdlife="N/A",0,IF(E380=0,0,A27stdlife+D380-Input!$Y$7))</f>
        <v>0</v>
      </c>
      <c r="G380" s="257"/>
      <c r="H380" s="256"/>
      <c r="I380" s="256"/>
      <c r="J380" s="256"/>
      <c r="K380" s="256"/>
      <c r="L380" s="256"/>
      <c r="M380" s="9"/>
      <c r="N380" s="9"/>
      <c r="O380" s="9"/>
      <c r="P380" s="9"/>
      <c r="Q380" s="9"/>
      <c r="R380" s="46"/>
      <c r="S380" s="46"/>
      <c r="T380" s="46"/>
      <c r="U380" s="46"/>
      <c r="V380" s="46"/>
      <c r="W380" s="46"/>
      <c r="X380" s="46"/>
      <c r="Y380" s="46"/>
    </row>
    <row r="381" spans="1:25" hidden="1" outlineLevel="1">
      <c r="A381" s="9"/>
      <c r="B381" s="9"/>
      <c r="C381" s="539"/>
      <c r="D381" s="87">
        <v>9</v>
      </c>
      <c r="E381" s="256">
        <f ca="1">OFFSET('Actual RAB roll forward'!H$38,0,D381-1)-SUM('Actual RAB roll forward'!H392:OFFSET('Actual RAB roll forward'!H392,0,Input!$Y$7-1))</f>
        <v>0</v>
      </c>
      <c r="F381" s="256">
        <f>IF(A27stdlife="N/A",0,IF(E381=0,0,A27stdlife+D381-Input!$Y$7))</f>
        <v>0</v>
      </c>
      <c r="G381" s="257"/>
      <c r="H381" s="256"/>
      <c r="I381" s="256"/>
      <c r="J381" s="256"/>
      <c r="K381" s="256"/>
      <c r="L381" s="256"/>
      <c r="M381" s="9"/>
      <c r="N381" s="9"/>
      <c r="O381" s="9"/>
      <c r="P381" s="9"/>
      <c r="Q381" s="9"/>
      <c r="R381" s="46"/>
      <c r="S381" s="46"/>
      <c r="T381" s="46"/>
      <c r="U381" s="46"/>
      <c r="V381" s="46"/>
      <c r="W381" s="46"/>
      <c r="X381" s="46"/>
      <c r="Y381" s="46"/>
    </row>
    <row r="382" spans="1:25" hidden="1" outlineLevel="1">
      <c r="A382" s="9"/>
      <c r="B382" s="9"/>
      <c r="C382" s="540"/>
      <c r="D382" s="88">
        <v>10</v>
      </c>
      <c r="E382" s="256">
        <f ca="1">OFFSET('Actual RAB roll forward'!H$38,0,D382-1)-SUM('Actual RAB roll forward'!H393:OFFSET('Actual RAB roll forward'!H393,0,Input!$Y$7-1))</f>
        <v>0</v>
      </c>
      <c r="F382" s="256">
        <f>IF(A27stdlife="N/A",0,IF(E382=0,0,A27stdlife+D382-Input!$Y$7))</f>
        <v>0</v>
      </c>
      <c r="G382" s="257"/>
      <c r="H382" s="256"/>
      <c r="I382" s="256"/>
      <c r="J382" s="256"/>
      <c r="K382" s="256"/>
      <c r="L382" s="256"/>
      <c r="M382" s="9"/>
      <c r="N382" s="9"/>
      <c r="O382" s="9"/>
      <c r="P382" s="9"/>
      <c r="Q382" s="9"/>
      <c r="R382" s="46"/>
      <c r="S382" s="46"/>
      <c r="T382" s="46"/>
      <c r="U382" s="46"/>
      <c r="V382" s="46"/>
      <c r="W382" s="46"/>
      <c r="X382" s="46"/>
      <c r="Y382" s="46"/>
    </row>
    <row r="383" spans="1:25" collapsed="1">
      <c r="A383" s="9"/>
      <c r="B383" s="9"/>
      <c r="C383" s="264">
        <f>Asset27</f>
        <v>0</v>
      </c>
      <c r="D383" s="9"/>
      <c r="E383" s="256">
        <f ca="1">SUM(E372:E382)</f>
        <v>0</v>
      </c>
      <c r="F383" s="256"/>
      <c r="G383" s="257"/>
      <c r="H383" s="256"/>
      <c r="I383" s="256"/>
      <c r="J383" s="256"/>
      <c r="K383" s="256"/>
      <c r="L383" s="256"/>
      <c r="M383" s="9"/>
      <c r="N383" s="9"/>
      <c r="O383" s="9"/>
      <c r="P383" s="9"/>
      <c r="Q383" s="9"/>
      <c r="R383" s="46"/>
      <c r="S383" s="46"/>
      <c r="T383" s="46"/>
      <c r="U383" s="46"/>
      <c r="V383" s="46"/>
      <c r="W383" s="46"/>
      <c r="X383" s="46"/>
      <c r="Y383" s="46"/>
    </row>
    <row r="384" spans="1:25" hidden="1" outlineLevel="1">
      <c r="A384" s="9"/>
      <c r="B384" s="255"/>
      <c r="C384" s="9"/>
      <c r="D384" s="9"/>
      <c r="E384" s="37"/>
      <c r="F384" s="37"/>
      <c r="G384" s="257"/>
      <c r="H384" s="37"/>
      <c r="I384" s="37"/>
      <c r="J384" s="37"/>
      <c r="K384" s="37"/>
      <c r="L384" s="37"/>
      <c r="M384" s="9"/>
      <c r="N384" s="9"/>
      <c r="O384" s="9"/>
      <c r="P384" s="9"/>
      <c r="Q384" s="9"/>
      <c r="R384" s="46"/>
      <c r="S384" s="46"/>
      <c r="T384" s="46"/>
      <c r="U384" s="46"/>
      <c r="V384" s="46"/>
      <c r="W384" s="46"/>
      <c r="X384" s="46"/>
      <c r="Y384" s="46"/>
    </row>
    <row r="385" spans="1:25" hidden="1" outlineLevel="1">
      <c r="A385" s="9"/>
      <c r="B385" s="255">
        <f>Asset28</f>
        <v>0</v>
      </c>
      <c r="C385" s="9"/>
      <c r="D385" s="9"/>
      <c r="E385" s="37"/>
      <c r="F385" s="37"/>
      <c r="G385" s="257"/>
      <c r="H385" s="37"/>
      <c r="I385" s="37"/>
      <c r="J385" s="37"/>
      <c r="K385" s="37"/>
      <c r="L385" s="37"/>
      <c r="M385" s="9"/>
      <c r="N385" s="9"/>
      <c r="O385" s="9"/>
      <c r="P385" s="9"/>
      <c r="Q385" s="9"/>
      <c r="R385" s="46"/>
      <c r="S385" s="46"/>
      <c r="T385" s="46"/>
      <c r="U385" s="46"/>
      <c r="V385" s="46"/>
      <c r="W385" s="46"/>
      <c r="X385" s="46"/>
      <c r="Y385" s="46"/>
    </row>
    <row r="386" spans="1:25" ht="12.75" hidden="1" customHeight="1" outlineLevel="1">
      <c r="A386" s="9"/>
      <c r="B386" s="9"/>
      <c r="C386" s="541" t="s">
        <v>28</v>
      </c>
      <c r="D386" s="542"/>
      <c r="E386" s="256">
        <f ca="1">A28value-SUM('Actual RAB roll forward'!H395:OFFSET('Actual RAB roll forward'!H395,0,Input!$Y$7-1))</f>
        <v>0</v>
      </c>
      <c r="F386" s="256">
        <f>IF(A28remlife="N/A",0,A28remlife-Input!$Y$7)</f>
        <v>0</v>
      </c>
      <c r="G386" s="257"/>
      <c r="H386" s="256"/>
      <c r="I386" s="256"/>
      <c r="J386" s="256"/>
      <c r="K386" s="256"/>
      <c r="L386" s="256"/>
      <c r="M386" s="9"/>
      <c r="N386" s="9"/>
      <c r="O386" s="9"/>
      <c r="P386" s="9"/>
      <c r="Q386" s="9"/>
      <c r="R386" s="46"/>
      <c r="S386" s="46"/>
      <c r="T386" s="46"/>
      <c r="U386" s="46"/>
      <c r="V386" s="46"/>
      <c r="W386" s="46"/>
      <c r="X386" s="46"/>
      <c r="Y386" s="46"/>
    </row>
    <row r="387" spans="1:25" ht="12.75" hidden="1" customHeight="1" outlineLevel="1">
      <c r="A387" s="9"/>
      <c r="B387" s="9"/>
      <c r="C387" s="538" t="s">
        <v>86</v>
      </c>
      <c r="D387" s="87">
        <v>1</v>
      </c>
      <c r="E387" s="256">
        <f ca="1">OFFSET('Actual RAB roll forward'!H$39,0,D387-1)-SUM('Actual RAB roll forward'!H397:OFFSET('Actual RAB roll forward'!H397,0,Input!$Y$7-1))</f>
        <v>0</v>
      </c>
      <c r="F387" s="256">
        <f>IF(A28stdlife="N/A",0,IF(E387=0,0,A28stdlife+D387-Input!$Y$7))</f>
        <v>0</v>
      </c>
      <c r="G387" s="257"/>
      <c r="H387" s="256"/>
      <c r="I387" s="256"/>
      <c r="J387" s="256"/>
      <c r="K387" s="256"/>
      <c r="L387" s="256"/>
      <c r="M387" s="9"/>
      <c r="N387" s="9"/>
      <c r="O387" s="9"/>
      <c r="P387" s="9"/>
      <c r="Q387" s="9"/>
      <c r="R387" s="46"/>
      <c r="S387" s="46"/>
      <c r="T387" s="46"/>
      <c r="U387" s="46"/>
      <c r="V387" s="46"/>
      <c r="W387" s="46"/>
      <c r="X387" s="46"/>
      <c r="Y387" s="46"/>
    </row>
    <row r="388" spans="1:25" hidden="1" outlineLevel="1">
      <c r="A388" s="9"/>
      <c r="B388" s="9"/>
      <c r="C388" s="539"/>
      <c r="D388" s="87">
        <v>2</v>
      </c>
      <c r="E388" s="256">
        <f ca="1">OFFSET('Actual RAB roll forward'!H$39,0,D388-1)-SUM('Actual RAB roll forward'!H398:OFFSET('Actual RAB roll forward'!H398,0,Input!$Y$7-1))</f>
        <v>0</v>
      </c>
      <c r="F388" s="256">
        <f>IF(A28stdlife="N/A",0,IF(E388=0,0,A28stdlife+D388-Input!$Y$7))</f>
        <v>0</v>
      </c>
      <c r="G388" s="257"/>
      <c r="H388" s="256"/>
      <c r="I388" s="256"/>
      <c r="J388" s="256"/>
      <c r="K388" s="256"/>
      <c r="L388" s="256"/>
      <c r="M388" s="9"/>
      <c r="N388" s="9"/>
      <c r="O388" s="9"/>
      <c r="P388" s="9"/>
      <c r="Q388" s="9"/>
      <c r="R388" s="46"/>
      <c r="S388" s="46"/>
      <c r="T388" s="46"/>
      <c r="U388" s="46"/>
      <c r="V388" s="46"/>
      <c r="W388" s="46"/>
      <c r="X388" s="46"/>
      <c r="Y388" s="46"/>
    </row>
    <row r="389" spans="1:25" hidden="1" outlineLevel="1">
      <c r="A389" s="9"/>
      <c r="B389" s="9"/>
      <c r="C389" s="539"/>
      <c r="D389" s="87">
        <v>3</v>
      </c>
      <c r="E389" s="256">
        <f ca="1">OFFSET('Actual RAB roll forward'!H$39,0,D389-1)-SUM('Actual RAB roll forward'!H399:OFFSET('Actual RAB roll forward'!H399,0,Input!$Y$7-1))</f>
        <v>0</v>
      </c>
      <c r="F389" s="256">
        <f>IF(A28stdlife="N/A",0,IF(E389=0,0,A28stdlife+D389-Input!$Y$7))</f>
        <v>0</v>
      </c>
      <c r="G389" s="257"/>
      <c r="H389" s="256"/>
      <c r="I389" s="256"/>
      <c r="J389" s="256"/>
      <c r="K389" s="256"/>
      <c r="L389" s="256"/>
      <c r="M389" s="9"/>
      <c r="N389" s="9"/>
      <c r="O389" s="9"/>
      <c r="P389" s="9"/>
      <c r="Q389" s="9"/>
      <c r="R389" s="46"/>
      <c r="S389" s="46"/>
      <c r="T389" s="46"/>
      <c r="U389" s="46"/>
      <c r="V389" s="46"/>
      <c r="W389" s="46"/>
      <c r="X389" s="46"/>
      <c r="Y389" s="46"/>
    </row>
    <row r="390" spans="1:25" hidden="1" outlineLevel="1">
      <c r="A390" s="9"/>
      <c r="B390" s="9"/>
      <c r="C390" s="539"/>
      <c r="D390" s="87">
        <v>4</v>
      </c>
      <c r="E390" s="256">
        <f ca="1">OFFSET('Actual RAB roll forward'!H$39,0,D390-1)-SUM('Actual RAB roll forward'!H400:OFFSET('Actual RAB roll forward'!H400,0,Input!$Y$7-1))</f>
        <v>0</v>
      </c>
      <c r="F390" s="256">
        <f>IF(A28stdlife="N/A",0,IF(E390=0,0,A28stdlife+D390-Input!$Y$7))</f>
        <v>0</v>
      </c>
      <c r="G390" s="257"/>
      <c r="H390" s="256"/>
      <c r="I390" s="256"/>
      <c r="J390" s="256"/>
      <c r="K390" s="256"/>
      <c r="L390" s="256"/>
      <c r="M390" s="9"/>
      <c r="N390" s="9"/>
      <c r="O390" s="9"/>
      <c r="P390" s="9"/>
      <c r="Q390" s="9"/>
      <c r="R390" s="46"/>
      <c r="S390" s="46"/>
      <c r="T390" s="46"/>
      <c r="U390" s="46"/>
      <c r="V390" s="46"/>
      <c r="W390" s="46"/>
      <c r="X390" s="46"/>
      <c r="Y390" s="46"/>
    </row>
    <row r="391" spans="1:25" hidden="1" outlineLevel="1">
      <c r="A391" s="9"/>
      <c r="B391" s="9"/>
      <c r="C391" s="539"/>
      <c r="D391" s="87">
        <v>5</v>
      </c>
      <c r="E391" s="256">
        <f ca="1">OFFSET('Actual RAB roll forward'!H$39,0,D391-1)-SUM('Actual RAB roll forward'!H401:OFFSET('Actual RAB roll forward'!H401,0,Input!$Y$7-1))</f>
        <v>0</v>
      </c>
      <c r="F391" s="256">
        <f>IF(A28stdlife="N/A",0,IF(E391=0,0,A28stdlife+D391-Input!$Y$7))</f>
        <v>0</v>
      </c>
      <c r="G391" s="257"/>
      <c r="H391" s="256"/>
      <c r="I391" s="256"/>
      <c r="J391" s="256"/>
      <c r="K391" s="256"/>
      <c r="L391" s="256"/>
      <c r="M391" s="9"/>
      <c r="N391" s="9"/>
      <c r="O391" s="9"/>
      <c r="P391" s="9"/>
      <c r="Q391" s="9"/>
      <c r="R391" s="46"/>
      <c r="S391" s="46"/>
      <c r="T391" s="46"/>
      <c r="U391" s="46"/>
      <c r="V391" s="46"/>
      <c r="W391" s="46"/>
      <c r="X391" s="46"/>
      <c r="Y391" s="46"/>
    </row>
    <row r="392" spans="1:25" hidden="1" outlineLevel="1">
      <c r="A392" s="9"/>
      <c r="B392" s="9"/>
      <c r="C392" s="539"/>
      <c r="D392" s="87">
        <v>6</v>
      </c>
      <c r="E392" s="256">
        <f ca="1">OFFSET('Actual RAB roll forward'!H$39,0,D392-1)-SUM('Actual RAB roll forward'!H402:OFFSET('Actual RAB roll forward'!H402,0,Input!$Y$7-1))</f>
        <v>0</v>
      </c>
      <c r="F392" s="256">
        <f>IF(A28stdlife="N/A",0,IF(E392=0,0,A28stdlife+D392-Input!$Y$7))</f>
        <v>0</v>
      </c>
      <c r="G392" s="257"/>
      <c r="H392" s="256"/>
      <c r="I392" s="256"/>
      <c r="J392" s="256"/>
      <c r="K392" s="256"/>
      <c r="L392" s="256"/>
      <c r="M392" s="9"/>
      <c r="N392" s="9"/>
      <c r="O392" s="9"/>
      <c r="P392" s="9"/>
      <c r="Q392" s="9"/>
      <c r="R392" s="46"/>
      <c r="S392" s="46"/>
      <c r="T392" s="46"/>
      <c r="U392" s="46"/>
      <c r="V392" s="46"/>
      <c r="W392" s="46"/>
      <c r="X392" s="46"/>
      <c r="Y392" s="46"/>
    </row>
    <row r="393" spans="1:25" hidden="1" outlineLevel="1">
      <c r="A393" s="9"/>
      <c r="B393" s="9"/>
      <c r="C393" s="539"/>
      <c r="D393" s="87">
        <v>7</v>
      </c>
      <c r="E393" s="256">
        <f ca="1">OFFSET('Actual RAB roll forward'!H$39,0,D393-1)-SUM('Actual RAB roll forward'!H403:OFFSET('Actual RAB roll forward'!H403,0,Input!$Y$7-1))</f>
        <v>0</v>
      </c>
      <c r="F393" s="256">
        <f>IF(A28stdlife="N/A",0,IF(E393=0,0,A28stdlife+D393-Input!$Y$7))</f>
        <v>0</v>
      </c>
      <c r="G393" s="257"/>
      <c r="H393" s="256"/>
      <c r="I393" s="256"/>
      <c r="J393" s="256"/>
      <c r="K393" s="256"/>
      <c r="L393" s="256"/>
      <c r="M393" s="9"/>
      <c r="N393" s="9"/>
      <c r="O393" s="9"/>
      <c r="P393" s="9"/>
      <c r="Q393" s="9"/>
      <c r="R393" s="46"/>
      <c r="S393" s="46"/>
      <c r="T393" s="46"/>
      <c r="U393" s="46"/>
      <c r="V393" s="46"/>
      <c r="W393" s="46"/>
      <c r="X393" s="46"/>
      <c r="Y393" s="46"/>
    </row>
    <row r="394" spans="1:25" hidden="1" outlineLevel="1">
      <c r="A394" s="9"/>
      <c r="B394" s="9"/>
      <c r="C394" s="539"/>
      <c r="D394" s="87">
        <v>8</v>
      </c>
      <c r="E394" s="256">
        <f ca="1">OFFSET('Actual RAB roll forward'!H$39,0,D394-1)-SUM('Actual RAB roll forward'!H404:OFFSET('Actual RAB roll forward'!H404,0,Input!$Y$7-1))</f>
        <v>0</v>
      </c>
      <c r="F394" s="256">
        <f>IF(A28stdlife="N/A",0,IF(E394=0,0,A28stdlife+D394-Input!$Y$7))</f>
        <v>0</v>
      </c>
      <c r="G394" s="257"/>
      <c r="H394" s="256"/>
      <c r="I394" s="256"/>
      <c r="J394" s="256"/>
      <c r="K394" s="256"/>
      <c r="L394" s="256"/>
      <c r="M394" s="9"/>
      <c r="N394" s="9"/>
      <c r="O394" s="9"/>
      <c r="P394" s="9"/>
      <c r="Q394" s="9"/>
      <c r="R394" s="46"/>
      <c r="S394" s="46"/>
      <c r="T394" s="46"/>
      <c r="U394" s="46"/>
      <c r="V394" s="46"/>
      <c r="W394" s="46"/>
      <c r="X394" s="46"/>
      <c r="Y394" s="46"/>
    </row>
    <row r="395" spans="1:25" hidden="1" outlineLevel="1">
      <c r="A395" s="9"/>
      <c r="B395" s="9"/>
      <c r="C395" s="539"/>
      <c r="D395" s="87">
        <v>9</v>
      </c>
      <c r="E395" s="256">
        <f ca="1">OFFSET('Actual RAB roll forward'!H$39,0,D395-1)-SUM('Actual RAB roll forward'!H405:OFFSET('Actual RAB roll forward'!H405,0,Input!$Y$7-1))</f>
        <v>0</v>
      </c>
      <c r="F395" s="256">
        <f>IF(A28stdlife="N/A",0,IF(E395=0,0,A28stdlife+D395-Input!$Y$7))</f>
        <v>0</v>
      </c>
      <c r="G395" s="257"/>
      <c r="H395" s="256"/>
      <c r="I395" s="256"/>
      <c r="J395" s="256"/>
      <c r="K395" s="256"/>
      <c r="L395" s="256"/>
      <c r="M395" s="9"/>
      <c r="N395" s="9"/>
      <c r="O395" s="9"/>
      <c r="P395" s="9"/>
      <c r="Q395" s="9"/>
      <c r="R395" s="46"/>
      <c r="S395" s="46"/>
      <c r="T395" s="46"/>
      <c r="U395" s="46"/>
      <c r="V395" s="46"/>
      <c r="W395" s="46"/>
      <c r="X395" s="46"/>
      <c r="Y395" s="46"/>
    </row>
    <row r="396" spans="1:25" hidden="1" outlineLevel="1">
      <c r="A396" s="9"/>
      <c r="B396" s="9"/>
      <c r="C396" s="540"/>
      <c r="D396" s="88">
        <v>10</v>
      </c>
      <c r="E396" s="256">
        <f ca="1">OFFSET('Actual RAB roll forward'!H$39,0,D396-1)-SUM('Actual RAB roll forward'!H406:OFFSET('Actual RAB roll forward'!H406,0,Input!$Y$7-1))</f>
        <v>0</v>
      </c>
      <c r="F396" s="256">
        <f>IF(A28stdlife="N/A",0,IF(E396=0,0,A28stdlife+D396-Input!$Y$7))</f>
        <v>0</v>
      </c>
      <c r="G396" s="257"/>
      <c r="H396" s="256"/>
      <c r="I396" s="256"/>
      <c r="J396" s="256"/>
      <c r="K396" s="256"/>
      <c r="L396" s="256"/>
      <c r="M396" s="9"/>
      <c r="N396" s="9"/>
      <c r="O396" s="9"/>
      <c r="P396" s="9"/>
      <c r="Q396" s="9"/>
      <c r="R396" s="46"/>
      <c r="S396" s="46"/>
      <c r="T396" s="46"/>
      <c r="U396" s="46"/>
      <c r="V396" s="46"/>
      <c r="W396" s="46"/>
      <c r="X396" s="46"/>
      <c r="Y396" s="46"/>
    </row>
    <row r="397" spans="1:25" collapsed="1">
      <c r="A397" s="9"/>
      <c r="B397" s="9"/>
      <c r="C397" s="264">
        <f>Asset28</f>
        <v>0</v>
      </c>
      <c r="D397" s="9"/>
      <c r="E397" s="256">
        <f ca="1">SUM(E386:E396)</f>
        <v>0</v>
      </c>
      <c r="F397" s="256"/>
      <c r="G397" s="257"/>
      <c r="H397" s="256"/>
      <c r="I397" s="256"/>
      <c r="J397" s="256"/>
      <c r="K397" s="256"/>
      <c r="L397" s="256"/>
      <c r="M397" s="9"/>
      <c r="N397" s="9"/>
      <c r="O397" s="9"/>
      <c r="P397" s="9"/>
      <c r="Q397" s="9"/>
      <c r="R397" s="46"/>
      <c r="S397" s="46"/>
      <c r="T397" s="46"/>
      <c r="U397" s="46"/>
      <c r="V397" s="46"/>
      <c r="W397" s="46"/>
      <c r="X397" s="46"/>
      <c r="Y397" s="46"/>
    </row>
    <row r="398" spans="1:25" hidden="1" outlineLevel="1">
      <c r="A398" s="9"/>
      <c r="B398" s="255"/>
      <c r="C398" s="9"/>
      <c r="D398" s="9"/>
      <c r="E398" s="37"/>
      <c r="F398" s="37"/>
      <c r="G398" s="257"/>
      <c r="H398" s="37"/>
      <c r="I398" s="37"/>
      <c r="J398" s="37"/>
      <c r="K398" s="37"/>
      <c r="L398" s="37"/>
      <c r="M398" s="9"/>
      <c r="N398" s="9"/>
      <c r="O398" s="9"/>
      <c r="P398" s="9"/>
      <c r="Q398" s="9"/>
      <c r="R398" s="46"/>
      <c r="S398" s="46"/>
      <c r="T398" s="46"/>
      <c r="U398" s="46"/>
      <c r="V398" s="46"/>
      <c r="W398" s="46"/>
      <c r="X398" s="46"/>
      <c r="Y398" s="46"/>
    </row>
    <row r="399" spans="1:25" hidden="1" outlineLevel="1">
      <c r="A399" s="9"/>
      <c r="B399" s="255">
        <f>Asset29</f>
        <v>0</v>
      </c>
      <c r="C399" s="9"/>
      <c r="D399" s="9"/>
      <c r="E399" s="37"/>
      <c r="F399" s="37"/>
      <c r="G399" s="257"/>
      <c r="H399" s="37"/>
      <c r="I399" s="37"/>
      <c r="J399" s="37"/>
      <c r="K399" s="37"/>
      <c r="L399" s="37"/>
      <c r="M399" s="9"/>
      <c r="N399" s="9"/>
      <c r="O399" s="9"/>
      <c r="P399" s="9"/>
      <c r="Q399" s="9"/>
      <c r="R399" s="46"/>
      <c r="S399" s="46"/>
      <c r="T399" s="46"/>
      <c r="U399" s="46"/>
      <c r="V399" s="46"/>
      <c r="W399" s="46"/>
      <c r="X399" s="46"/>
      <c r="Y399" s="46"/>
    </row>
    <row r="400" spans="1:25" ht="12.75" hidden="1" customHeight="1" outlineLevel="1">
      <c r="A400" s="9"/>
      <c r="B400" s="9"/>
      <c r="C400" s="541" t="s">
        <v>28</v>
      </c>
      <c r="D400" s="542"/>
      <c r="E400" s="256">
        <f ca="1">A29value-SUM('Actual RAB roll forward'!H408:OFFSET('Actual RAB roll forward'!H408,0,Input!$Y$7-1))</f>
        <v>0</v>
      </c>
      <c r="F400" s="256">
        <f>IF(A29remlife="N/A",0,A29remlife-Input!$Y$7)</f>
        <v>0</v>
      </c>
      <c r="G400" s="257"/>
      <c r="H400" s="256"/>
      <c r="I400" s="256"/>
      <c r="J400" s="256"/>
      <c r="K400" s="256"/>
      <c r="L400" s="256"/>
      <c r="M400" s="9"/>
      <c r="N400" s="9"/>
      <c r="O400" s="9"/>
      <c r="P400" s="9"/>
      <c r="Q400" s="9"/>
      <c r="R400" s="46"/>
      <c r="S400" s="46"/>
      <c r="T400" s="46"/>
      <c r="U400" s="46"/>
      <c r="V400" s="46"/>
      <c r="W400" s="46"/>
      <c r="X400" s="46"/>
      <c r="Y400" s="46"/>
    </row>
    <row r="401" spans="1:25" ht="12.75" hidden="1" customHeight="1" outlineLevel="1">
      <c r="A401" s="9"/>
      <c r="B401" s="9"/>
      <c r="C401" s="538" t="s">
        <v>86</v>
      </c>
      <c r="D401" s="87">
        <v>1</v>
      </c>
      <c r="E401" s="256">
        <f ca="1">OFFSET('Actual RAB roll forward'!H$40,0,D401-1)-SUM('Actual RAB roll forward'!H410:OFFSET('Actual RAB roll forward'!H410,0,Input!$Y$7-1))</f>
        <v>0</v>
      </c>
      <c r="F401" s="256">
        <f>IF(A29stdlife="N/A",0,IF(E401=0,0,A29stdlife+D401-Input!$Y$7))</f>
        <v>0</v>
      </c>
      <c r="G401" s="257"/>
      <c r="H401" s="256"/>
      <c r="I401" s="256"/>
      <c r="J401" s="256"/>
      <c r="K401" s="256"/>
      <c r="L401" s="256"/>
      <c r="M401" s="9"/>
      <c r="N401" s="9"/>
      <c r="O401" s="9"/>
      <c r="P401" s="9"/>
      <c r="Q401" s="9"/>
      <c r="R401" s="46"/>
      <c r="S401" s="46"/>
      <c r="T401" s="46"/>
      <c r="U401" s="46"/>
      <c r="V401" s="46"/>
      <c r="W401" s="46"/>
      <c r="X401" s="46"/>
      <c r="Y401" s="46"/>
    </row>
    <row r="402" spans="1:25" hidden="1" outlineLevel="1">
      <c r="A402" s="9"/>
      <c r="B402" s="9"/>
      <c r="C402" s="539"/>
      <c r="D402" s="87">
        <v>2</v>
      </c>
      <c r="E402" s="256">
        <f ca="1">OFFSET('Actual RAB roll forward'!H$40,0,D402-1)-SUM('Actual RAB roll forward'!H411:OFFSET('Actual RAB roll forward'!H411,0,Input!$Y$7-1))</f>
        <v>0</v>
      </c>
      <c r="F402" s="256">
        <f>IF(A29stdlife="N/A",0,IF(E402=0,0,A29stdlife+D402-Input!$Y$7))</f>
        <v>0</v>
      </c>
      <c r="G402" s="257"/>
      <c r="H402" s="256"/>
      <c r="I402" s="256"/>
      <c r="J402" s="256"/>
      <c r="K402" s="256"/>
      <c r="L402" s="256"/>
      <c r="M402" s="9"/>
      <c r="N402" s="9"/>
      <c r="O402" s="9"/>
      <c r="P402" s="9"/>
      <c r="Q402" s="9"/>
      <c r="R402" s="46"/>
      <c r="S402" s="46"/>
      <c r="T402" s="46"/>
      <c r="U402" s="46"/>
      <c r="V402" s="46"/>
      <c r="W402" s="46"/>
      <c r="X402" s="46"/>
      <c r="Y402" s="46"/>
    </row>
    <row r="403" spans="1:25" hidden="1" outlineLevel="1">
      <c r="A403" s="9"/>
      <c r="B403" s="9"/>
      <c r="C403" s="539"/>
      <c r="D403" s="87">
        <v>3</v>
      </c>
      <c r="E403" s="256">
        <f ca="1">OFFSET('Actual RAB roll forward'!H$40,0,D403-1)-SUM('Actual RAB roll forward'!H412:OFFSET('Actual RAB roll forward'!H412,0,Input!$Y$7-1))</f>
        <v>0</v>
      </c>
      <c r="F403" s="256">
        <f>IF(A29stdlife="N/A",0,IF(E403=0,0,A29stdlife+D403-Input!$Y$7))</f>
        <v>0</v>
      </c>
      <c r="G403" s="257"/>
      <c r="H403" s="256"/>
      <c r="I403" s="256"/>
      <c r="J403" s="256"/>
      <c r="K403" s="256"/>
      <c r="L403" s="256"/>
      <c r="M403" s="9"/>
      <c r="N403" s="9"/>
      <c r="O403" s="9"/>
      <c r="P403" s="9"/>
      <c r="Q403" s="9"/>
      <c r="R403" s="46"/>
      <c r="S403" s="46"/>
      <c r="T403" s="46"/>
      <c r="U403" s="46"/>
      <c r="V403" s="46"/>
      <c r="W403" s="46"/>
      <c r="X403" s="46"/>
      <c r="Y403" s="46"/>
    </row>
    <row r="404" spans="1:25" hidden="1" outlineLevel="1">
      <c r="A404" s="9"/>
      <c r="B404" s="9"/>
      <c r="C404" s="539"/>
      <c r="D404" s="87">
        <v>4</v>
      </c>
      <c r="E404" s="256">
        <f ca="1">OFFSET('Actual RAB roll forward'!H$40,0,D404-1)-SUM('Actual RAB roll forward'!H413:OFFSET('Actual RAB roll forward'!H413,0,Input!$Y$7-1))</f>
        <v>0</v>
      </c>
      <c r="F404" s="256">
        <f>IF(A29stdlife="N/A",0,IF(E404=0,0,A29stdlife+D404-Input!$Y$7))</f>
        <v>0</v>
      </c>
      <c r="G404" s="257"/>
      <c r="H404" s="256"/>
      <c r="I404" s="256"/>
      <c r="J404" s="256"/>
      <c r="K404" s="256"/>
      <c r="L404" s="256"/>
      <c r="M404" s="9"/>
      <c r="N404" s="9"/>
      <c r="O404" s="9"/>
      <c r="P404" s="9"/>
      <c r="Q404" s="9"/>
      <c r="R404" s="46"/>
      <c r="S404" s="46"/>
      <c r="T404" s="46"/>
      <c r="U404" s="46"/>
      <c r="V404" s="46"/>
      <c r="W404" s="46"/>
      <c r="X404" s="46"/>
      <c r="Y404" s="46"/>
    </row>
    <row r="405" spans="1:25" hidden="1" outlineLevel="1">
      <c r="A405" s="9"/>
      <c r="B405" s="9"/>
      <c r="C405" s="539"/>
      <c r="D405" s="87">
        <v>5</v>
      </c>
      <c r="E405" s="256">
        <f ca="1">OFFSET('Actual RAB roll forward'!H$40,0,D405-1)-SUM('Actual RAB roll forward'!H414:OFFSET('Actual RAB roll forward'!H414,0,Input!$Y$7-1))</f>
        <v>0</v>
      </c>
      <c r="F405" s="256">
        <f>IF(A29stdlife="N/A",0,IF(E405=0,0,A29stdlife+D405-Input!$Y$7))</f>
        <v>0</v>
      </c>
      <c r="G405" s="257"/>
      <c r="H405" s="256"/>
      <c r="I405" s="256"/>
      <c r="J405" s="256"/>
      <c r="K405" s="256"/>
      <c r="L405" s="256"/>
      <c r="M405" s="9"/>
      <c r="N405" s="9"/>
      <c r="O405" s="9"/>
      <c r="P405" s="9"/>
      <c r="Q405" s="9"/>
      <c r="R405" s="46"/>
      <c r="S405" s="46"/>
      <c r="T405" s="46"/>
      <c r="U405" s="46"/>
      <c r="V405" s="46"/>
      <c r="W405" s="46"/>
      <c r="X405" s="46"/>
      <c r="Y405" s="46"/>
    </row>
    <row r="406" spans="1:25" hidden="1" outlineLevel="1">
      <c r="A406" s="9"/>
      <c r="B406" s="9"/>
      <c r="C406" s="539"/>
      <c r="D406" s="87">
        <v>6</v>
      </c>
      <c r="E406" s="256">
        <f ca="1">OFFSET('Actual RAB roll forward'!H$40,0,D406-1)-SUM('Actual RAB roll forward'!H415:OFFSET('Actual RAB roll forward'!H415,0,Input!$Y$7-1))</f>
        <v>0</v>
      </c>
      <c r="F406" s="256">
        <f>IF(A29stdlife="N/A",0,IF(E406=0,0,A29stdlife+D406-Input!$Y$7))</f>
        <v>0</v>
      </c>
      <c r="G406" s="257"/>
      <c r="H406" s="256"/>
      <c r="I406" s="256"/>
      <c r="J406" s="256"/>
      <c r="K406" s="256"/>
      <c r="L406" s="256"/>
      <c r="M406" s="9"/>
      <c r="N406" s="9"/>
      <c r="O406" s="9"/>
      <c r="P406" s="9"/>
      <c r="Q406" s="9"/>
      <c r="R406" s="46"/>
      <c r="S406" s="46"/>
      <c r="T406" s="46"/>
      <c r="U406" s="46"/>
      <c r="V406" s="46"/>
      <c r="W406" s="46"/>
      <c r="X406" s="46"/>
      <c r="Y406" s="46"/>
    </row>
    <row r="407" spans="1:25" hidden="1" outlineLevel="1">
      <c r="A407" s="9"/>
      <c r="B407" s="9"/>
      <c r="C407" s="539"/>
      <c r="D407" s="87">
        <v>7</v>
      </c>
      <c r="E407" s="256">
        <f ca="1">OFFSET('Actual RAB roll forward'!H$40,0,D407-1)-SUM('Actual RAB roll forward'!H416:OFFSET('Actual RAB roll forward'!H416,0,Input!$Y$7-1))</f>
        <v>0</v>
      </c>
      <c r="F407" s="256">
        <f>IF(A29stdlife="N/A",0,IF(E407=0,0,A29stdlife+D407-Input!$Y$7))</f>
        <v>0</v>
      </c>
      <c r="G407" s="257"/>
      <c r="H407" s="256"/>
      <c r="I407" s="256"/>
      <c r="J407" s="256"/>
      <c r="K407" s="256"/>
      <c r="L407" s="256"/>
      <c r="M407" s="9"/>
      <c r="N407" s="9"/>
      <c r="O407" s="9"/>
      <c r="P407" s="9"/>
      <c r="Q407" s="9"/>
      <c r="R407" s="46"/>
      <c r="S407" s="46"/>
      <c r="T407" s="46"/>
      <c r="U407" s="46"/>
      <c r="V407" s="46"/>
      <c r="W407" s="46"/>
      <c r="X407" s="46"/>
      <c r="Y407" s="46"/>
    </row>
    <row r="408" spans="1:25" hidden="1" outlineLevel="1">
      <c r="A408" s="9"/>
      <c r="B408" s="9"/>
      <c r="C408" s="539"/>
      <c r="D408" s="87">
        <v>8</v>
      </c>
      <c r="E408" s="256">
        <f ca="1">OFFSET('Actual RAB roll forward'!H$40,0,D408-1)-SUM('Actual RAB roll forward'!H417:OFFSET('Actual RAB roll forward'!H417,0,Input!$Y$7-1))</f>
        <v>0</v>
      </c>
      <c r="F408" s="256">
        <f>IF(A29stdlife="N/A",0,IF(E408=0,0,A29stdlife+D408-Input!$Y$7))</f>
        <v>0</v>
      </c>
      <c r="G408" s="257"/>
      <c r="H408" s="256"/>
      <c r="I408" s="256"/>
      <c r="J408" s="256"/>
      <c r="K408" s="256"/>
      <c r="L408" s="256"/>
      <c r="M408" s="9"/>
      <c r="N408" s="9"/>
      <c r="O408" s="9"/>
      <c r="P408" s="9"/>
      <c r="Q408" s="9"/>
      <c r="R408" s="46"/>
      <c r="S408" s="46"/>
      <c r="T408" s="46"/>
      <c r="U408" s="46"/>
      <c r="V408" s="46"/>
      <c r="W408" s="46"/>
      <c r="X408" s="46"/>
      <c r="Y408" s="46"/>
    </row>
    <row r="409" spans="1:25" hidden="1" outlineLevel="1">
      <c r="A409" s="9"/>
      <c r="B409" s="9"/>
      <c r="C409" s="539"/>
      <c r="D409" s="87">
        <v>9</v>
      </c>
      <c r="E409" s="256">
        <f ca="1">OFFSET('Actual RAB roll forward'!H$40,0,D409-1)-SUM('Actual RAB roll forward'!H418:OFFSET('Actual RAB roll forward'!H418,0,Input!$Y$7-1))</f>
        <v>0</v>
      </c>
      <c r="F409" s="256">
        <f>IF(A29stdlife="N/A",0,IF(E409=0,0,A29stdlife+D409-Input!$Y$7))</f>
        <v>0</v>
      </c>
      <c r="G409" s="257"/>
      <c r="H409" s="256"/>
      <c r="I409" s="256"/>
      <c r="J409" s="256"/>
      <c r="K409" s="256"/>
      <c r="L409" s="256"/>
      <c r="M409" s="9"/>
      <c r="N409" s="9"/>
      <c r="O409" s="9"/>
      <c r="P409" s="9"/>
      <c r="Q409" s="9"/>
      <c r="R409" s="46"/>
      <c r="S409" s="46"/>
      <c r="T409" s="46"/>
      <c r="U409" s="46"/>
      <c r="V409" s="46"/>
      <c r="W409" s="46"/>
      <c r="X409" s="46"/>
      <c r="Y409" s="46"/>
    </row>
    <row r="410" spans="1:25" hidden="1" outlineLevel="1">
      <c r="A410" s="9"/>
      <c r="B410" s="9"/>
      <c r="C410" s="540"/>
      <c r="D410" s="88">
        <v>10</v>
      </c>
      <c r="E410" s="256">
        <f ca="1">OFFSET('Actual RAB roll forward'!H$40,0,D410-1)-SUM('Actual RAB roll forward'!H419:OFFSET('Actual RAB roll forward'!H419,0,Input!$Y$7-1))</f>
        <v>0</v>
      </c>
      <c r="F410" s="256">
        <f>IF(A29stdlife="N/A",0,IF(E410=0,0,A29stdlife+D410-Input!$Y$7))</f>
        <v>0</v>
      </c>
      <c r="G410" s="257"/>
      <c r="H410" s="256"/>
      <c r="I410" s="256"/>
      <c r="J410" s="256"/>
      <c r="K410" s="256"/>
      <c r="L410" s="256"/>
      <c r="M410" s="9"/>
      <c r="N410" s="9"/>
      <c r="O410" s="9"/>
      <c r="P410" s="9"/>
      <c r="Q410" s="9"/>
      <c r="R410" s="46"/>
      <c r="S410" s="46"/>
      <c r="T410" s="46"/>
      <c r="U410" s="46"/>
      <c r="V410" s="46"/>
      <c r="W410" s="46"/>
      <c r="X410" s="46"/>
      <c r="Y410" s="46"/>
    </row>
    <row r="411" spans="1:25" collapsed="1">
      <c r="A411" s="9"/>
      <c r="B411" s="9"/>
      <c r="C411" s="264">
        <f>Asset29</f>
        <v>0</v>
      </c>
      <c r="D411" s="9"/>
      <c r="E411" s="256">
        <f ca="1">SUM(E400:E410)</f>
        <v>0</v>
      </c>
      <c r="F411" s="256"/>
      <c r="G411" s="257"/>
      <c r="H411" s="256"/>
      <c r="I411" s="256"/>
      <c r="J411" s="256"/>
      <c r="K411" s="256"/>
      <c r="L411" s="256"/>
      <c r="M411" s="9"/>
      <c r="N411" s="9"/>
      <c r="O411" s="9"/>
      <c r="P411" s="9"/>
      <c r="Q411" s="9"/>
      <c r="R411" s="46"/>
      <c r="S411" s="46"/>
      <c r="T411" s="46"/>
      <c r="U411" s="46"/>
      <c r="V411" s="46"/>
      <c r="W411" s="46"/>
      <c r="X411" s="46"/>
      <c r="Y411" s="46"/>
    </row>
    <row r="412" spans="1:25" hidden="1" outlineLevel="1">
      <c r="A412" s="9"/>
      <c r="B412" s="255"/>
      <c r="C412" s="9"/>
      <c r="D412" s="9"/>
      <c r="E412" s="37"/>
      <c r="F412" s="37"/>
      <c r="G412" s="257"/>
      <c r="H412" s="37"/>
      <c r="I412" s="37"/>
      <c r="J412" s="37"/>
      <c r="K412" s="37"/>
      <c r="L412" s="37"/>
      <c r="M412" s="9"/>
      <c r="N412" s="9"/>
      <c r="O412" s="9"/>
      <c r="P412" s="9"/>
      <c r="Q412" s="9"/>
      <c r="R412" s="46"/>
      <c r="S412" s="46"/>
      <c r="T412" s="46"/>
      <c r="U412" s="46"/>
      <c r="V412" s="46"/>
      <c r="W412" s="46"/>
      <c r="X412" s="46"/>
      <c r="Y412" s="46"/>
    </row>
    <row r="413" spans="1:25" hidden="1" outlineLevel="1">
      <c r="A413" s="9"/>
      <c r="B413" s="255">
        <f>Asset30</f>
        <v>0</v>
      </c>
      <c r="C413" s="9"/>
      <c r="D413" s="9"/>
      <c r="E413" s="37"/>
      <c r="F413" s="37"/>
      <c r="G413" s="257"/>
      <c r="H413" s="37"/>
      <c r="I413" s="37"/>
      <c r="J413" s="37"/>
      <c r="K413" s="37"/>
      <c r="L413" s="37"/>
      <c r="M413" s="9"/>
      <c r="N413" s="9"/>
      <c r="O413" s="9"/>
      <c r="P413" s="9"/>
      <c r="Q413" s="9"/>
      <c r="R413" s="46"/>
      <c r="S413" s="46"/>
      <c r="T413" s="46"/>
      <c r="U413" s="46"/>
      <c r="V413" s="46"/>
      <c r="W413" s="46"/>
      <c r="X413" s="46"/>
      <c r="Y413" s="46"/>
    </row>
    <row r="414" spans="1:25" ht="12.75" hidden="1" customHeight="1" outlineLevel="1">
      <c r="A414" s="9"/>
      <c r="B414" s="9"/>
      <c r="C414" s="541" t="s">
        <v>28</v>
      </c>
      <c r="D414" s="542"/>
      <c r="E414" s="256">
        <f ca="1">A30value-SUM('Actual RAB roll forward'!H421:OFFSET('Actual RAB roll forward'!H421,0,Input!$Y$7-1))</f>
        <v>0</v>
      </c>
      <c r="F414" s="256">
        <f>IF(A30remlife="N/A",0,A30remlife-Input!$Y$7)</f>
        <v>0</v>
      </c>
      <c r="G414" s="257"/>
      <c r="H414" s="256"/>
      <c r="I414" s="256"/>
      <c r="J414" s="256"/>
      <c r="K414" s="256"/>
      <c r="L414" s="256"/>
      <c r="M414" s="9"/>
      <c r="N414" s="9"/>
      <c r="O414" s="9"/>
      <c r="P414" s="9"/>
      <c r="Q414" s="9"/>
      <c r="R414" s="46"/>
      <c r="S414" s="46"/>
      <c r="T414" s="46"/>
      <c r="U414" s="46"/>
      <c r="V414" s="46"/>
      <c r="W414" s="46"/>
      <c r="X414" s="46"/>
      <c r="Y414" s="46"/>
    </row>
    <row r="415" spans="1:25" ht="12.75" hidden="1" customHeight="1" outlineLevel="1">
      <c r="A415" s="9"/>
      <c r="B415" s="9"/>
      <c r="C415" s="538" t="s">
        <v>86</v>
      </c>
      <c r="D415" s="87">
        <v>1</v>
      </c>
      <c r="E415" s="256">
        <f ca="1">OFFSET('Actual RAB roll forward'!H$41,0,D415-1)-SUM('Actual RAB roll forward'!H423:OFFSET('Actual RAB roll forward'!H423,0,Input!$Y$7-1))</f>
        <v>0</v>
      </c>
      <c r="F415" s="256">
        <f>IF(A30stdlife="N/A",0,IF(E415=0,0,A30stdlife+D415-Input!$Y$7))</f>
        <v>0</v>
      </c>
      <c r="G415" s="257"/>
      <c r="H415" s="256"/>
      <c r="I415" s="256"/>
      <c r="J415" s="256"/>
      <c r="K415" s="256"/>
      <c r="L415" s="256"/>
      <c r="M415" s="9"/>
      <c r="N415" s="9"/>
      <c r="O415" s="9"/>
      <c r="P415" s="9"/>
      <c r="Q415" s="9"/>
      <c r="R415" s="46"/>
      <c r="S415" s="46"/>
      <c r="T415" s="46"/>
      <c r="U415" s="46"/>
      <c r="V415" s="46"/>
      <c r="W415" s="46"/>
      <c r="X415" s="46"/>
      <c r="Y415" s="46"/>
    </row>
    <row r="416" spans="1:25" hidden="1" outlineLevel="1">
      <c r="A416" s="9"/>
      <c r="B416" s="9"/>
      <c r="C416" s="539"/>
      <c r="D416" s="87">
        <v>2</v>
      </c>
      <c r="E416" s="256">
        <f ca="1">OFFSET('Actual RAB roll forward'!H$41,0,D416-1)-SUM('Actual RAB roll forward'!H424:OFFSET('Actual RAB roll forward'!H424,0,Input!$Y$7-1))</f>
        <v>0</v>
      </c>
      <c r="F416" s="256">
        <f>IF(A30stdlife="N/A",0,IF(E416=0,0,A30stdlife+D416-Input!$Y$7))</f>
        <v>0</v>
      </c>
      <c r="G416" s="257"/>
      <c r="H416" s="256"/>
      <c r="I416" s="256"/>
      <c r="J416" s="256"/>
      <c r="K416" s="256"/>
      <c r="L416" s="256"/>
      <c r="M416" s="9"/>
      <c r="N416" s="9"/>
      <c r="O416" s="9"/>
      <c r="P416" s="9"/>
      <c r="Q416" s="9"/>
      <c r="R416" s="46"/>
      <c r="S416" s="46"/>
      <c r="T416" s="46"/>
      <c r="U416" s="46"/>
      <c r="V416" s="46"/>
      <c r="W416" s="46"/>
      <c r="X416" s="46"/>
      <c r="Y416" s="46"/>
    </row>
    <row r="417" spans="1:25" hidden="1" outlineLevel="1">
      <c r="A417" s="9"/>
      <c r="B417" s="9"/>
      <c r="C417" s="539"/>
      <c r="D417" s="87">
        <v>3</v>
      </c>
      <c r="E417" s="256">
        <f ca="1">OFFSET('Actual RAB roll forward'!H$41,0,D417-1)-SUM('Actual RAB roll forward'!H425:OFFSET('Actual RAB roll forward'!H425,0,Input!$Y$7-1))</f>
        <v>0</v>
      </c>
      <c r="F417" s="256">
        <f>IF(A30stdlife="N/A",0,IF(E417=0,0,A30stdlife+D417-Input!$Y$7))</f>
        <v>0</v>
      </c>
      <c r="G417" s="257"/>
      <c r="H417" s="256"/>
      <c r="I417" s="256"/>
      <c r="J417" s="256"/>
      <c r="K417" s="256"/>
      <c r="L417" s="256"/>
      <c r="M417" s="9"/>
      <c r="N417" s="9"/>
      <c r="O417" s="9"/>
      <c r="P417" s="9"/>
      <c r="Q417" s="9"/>
      <c r="R417" s="46"/>
      <c r="S417" s="46"/>
      <c r="T417" s="46"/>
      <c r="U417" s="46"/>
      <c r="V417" s="46"/>
      <c r="W417" s="46"/>
      <c r="X417" s="46"/>
      <c r="Y417" s="46"/>
    </row>
    <row r="418" spans="1:25" hidden="1" outlineLevel="1">
      <c r="A418" s="9"/>
      <c r="B418" s="9"/>
      <c r="C418" s="539"/>
      <c r="D418" s="87">
        <v>4</v>
      </c>
      <c r="E418" s="256">
        <f ca="1">OFFSET('Actual RAB roll forward'!H$41,0,D418-1)-SUM('Actual RAB roll forward'!H426:OFFSET('Actual RAB roll forward'!H426,0,Input!$Y$7-1))</f>
        <v>0</v>
      </c>
      <c r="F418" s="256">
        <f>IF(A30stdlife="N/A",0,IF(E418=0,0,A30stdlife+D418-Input!$Y$7))</f>
        <v>0</v>
      </c>
      <c r="G418" s="257"/>
      <c r="H418" s="256"/>
      <c r="I418" s="256"/>
      <c r="J418" s="256"/>
      <c r="K418" s="256"/>
      <c r="L418" s="256"/>
      <c r="M418" s="9"/>
      <c r="N418" s="9"/>
      <c r="O418" s="9"/>
      <c r="P418" s="9"/>
      <c r="Q418" s="9"/>
      <c r="R418" s="46"/>
      <c r="S418" s="46"/>
      <c r="T418" s="46"/>
      <c r="U418" s="46"/>
      <c r="V418" s="46"/>
      <c r="W418" s="46"/>
      <c r="X418" s="46"/>
      <c r="Y418" s="46"/>
    </row>
    <row r="419" spans="1:25" hidden="1" outlineLevel="1">
      <c r="A419" s="9"/>
      <c r="B419" s="9"/>
      <c r="C419" s="539"/>
      <c r="D419" s="87">
        <v>5</v>
      </c>
      <c r="E419" s="256">
        <f ca="1">OFFSET('Actual RAB roll forward'!H$41,0,D419-1)-SUM('Actual RAB roll forward'!H427:OFFSET('Actual RAB roll forward'!H427,0,Input!$Y$7-1))</f>
        <v>0</v>
      </c>
      <c r="F419" s="256">
        <f>IF(A30stdlife="N/A",0,IF(E419=0,0,A30stdlife+D419-Input!$Y$7))</f>
        <v>0</v>
      </c>
      <c r="G419" s="257"/>
      <c r="H419" s="256"/>
      <c r="I419" s="256"/>
      <c r="J419" s="256"/>
      <c r="K419" s="256"/>
      <c r="L419" s="256"/>
      <c r="M419" s="9"/>
      <c r="N419" s="9"/>
      <c r="O419" s="9"/>
      <c r="P419" s="9"/>
      <c r="Q419" s="9"/>
      <c r="R419" s="46"/>
      <c r="S419" s="46"/>
      <c r="T419" s="46"/>
      <c r="U419" s="46"/>
      <c r="V419" s="46"/>
      <c r="W419" s="46"/>
      <c r="X419" s="46"/>
      <c r="Y419" s="46"/>
    </row>
    <row r="420" spans="1:25" hidden="1" outlineLevel="1">
      <c r="A420" s="9"/>
      <c r="B420" s="9"/>
      <c r="C420" s="539"/>
      <c r="D420" s="87">
        <v>6</v>
      </c>
      <c r="E420" s="256">
        <f ca="1">OFFSET('Actual RAB roll forward'!H$41,0,D420-1)-SUM('Actual RAB roll forward'!H428:OFFSET('Actual RAB roll forward'!H428,0,Input!$Y$7-1))</f>
        <v>0</v>
      </c>
      <c r="F420" s="256">
        <f>IF(A30stdlife="N/A",0,IF(E420=0,0,A30stdlife+D420-Input!$Y$7))</f>
        <v>0</v>
      </c>
      <c r="G420" s="257"/>
      <c r="H420" s="256"/>
      <c r="I420" s="256"/>
      <c r="J420" s="256"/>
      <c r="K420" s="256"/>
      <c r="L420" s="256"/>
      <c r="M420" s="9"/>
      <c r="N420" s="9"/>
      <c r="O420" s="9"/>
      <c r="P420" s="9"/>
      <c r="Q420" s="9"/>
      <c r="R420" s="46"/>
      <c r="S420" s="46"/>
      <c r="T420" s="46"/>
      <c r="U420" s="46"/>
      <c r="V420" s="46"/>
      <c r="W420" s="46"/>
      <c r="X420" s="46"/>
      <c r="Y420" s="46"/>
    </row>
    <row r="421" spans="1:25" hidden="1" outlineLevel="1">
      <c r="A421" s="9"/>
      <c r="B421" s="9"/>
      <c r="C421" s="539"/>
      <c r="D421" s="87">
        <v>7</v>
      </c>
      <c r="E421" s="256">
        <f ca="1">OFFSET('Actual RAB roll forward'!H$41,0,D421-1)-SUM('Actual RAB roll forward'!H429:OFFSET('Actual RAB roll forward'!H429,0,Input!$Y$7-1))</f>
        <v>0</v>
      </c>
      <c r="F421" s="256">
        <f>IF(A30stdlife="N/A",0,IF(E421=0,0,A30stdlife+D421-Input!$Y$7))</f>
        <v>0</v>
      </c>
      <c r="G421" s="257"/>
      <c r="H421" s="256"/>
      <c r="I421" s="256"/>
      <c r="J421" s="256"/>
      <c r="K421" s="256"/>
      <c r="L421" s="256"/>
      <c r="M421" s="9"/>
      <c r="N421" s="9"/>
      <c r="O421" s="9"/>
      <c r="P421" s="9"/>
      <c r="Q421" s="9"/>
      <c r="R421" s="46"/>
      <c r="S421" s="46"/>
      <c r="T421" s="46"/>
      <c r="U421" s="46"/>
      <c r="V421" s="46"/>
      <c r="W421" s="46"/>
      <c r="X421" s="46"/>
      <c r="Y421" s="46"/>
    </row>
    <row r="422" spans="1:25" hidden="1" outlineLevel="1">
      <c r="A422" s="9"/>
      <c r="B422" s="9"/>
      <c r="C422" s="539"/>
      <c r="D422" s="87">
        <v>8</v>
      </c>
      <c r="E422" s="256">
        <f ca="1">OFFSET('Actual RAB roll forward'!H$41,0,D422-1)-SUM('Actual RAB roll forward'!H430:OFFSET('Actual RAB roll forward'!H430,0,Input!$Y$7-1))</f>
        <v>0</v>
      </c>
      <c r="F422" s="256">
        <f>IF(A30stdlife="N/A",0,IF(E422=0,0,A30stdlife+D422-Input!$Y$7))</f>
        <v>0</v>
      </c>
      <c r="G422" s="257"/>
      <c r="H422" s="256"/>
      <c r="I422" s="256"/>
      <c r="J422" s="256"/>
      <c r="K422" s="256"/>
      <c r="L422" s="256"/>
      <c r="M422" s="9"/>
      <c r="N422" s="9"/>
      <c r="O422" s="9"/>
      <c r="P422" s="9"/>
      <c r="Q422" s="9"/>
      <c r="R422" s="46"/>
      <c r="S422" s="46"/>
      <c r="T422" s="46"/>
      <c r="U422" s="46"/>
      <c r="V422" s="46"/>
      <c r="W422" s="46"/>
      <c r="X422" s="46"/>
      <c r="Y422" s="46"/>
    </row>
    <row r="423" spans="1:25" hidden="1" outlineLevel="1">
      <c r="A423" s="9"/>
      <c r="B423" s="9"/>
      <c r="C423" s="539"/>
      <c r="D423" s="87">
        <v>9</v>
      </c>
      <c r="E423" s="256">
        <f ca="1">OFFSET('Actual RAB roll forward'!H$41,0,D423-1)-SUM('Actual RAB roll forward'!H431:OFFSET('Actual RAB roll forward'!H431,0,Input!$Y$7-1))</f>
        <v>0</v>
      </c>
      <c r="F423" s="256">
        <f>IF(A30stdlife="N/A",0,IF(E423=0,0,A30stdlife+D423-Input!$Y$7))</f>
        <v>0</v>
      </c>
      <c r="G423" s="257"/>
      <c r="H423" s="256"/>
      <c r="I423" s="256"/>
      <c r="J423" s="256"/>
      <c r="K423" s="256"/>
      <c r="L423" s="256"/>
      <c r="M423" s="9"/>
      <c r="N423" s="9"/>
      <c r="O423" s="9"/>
      <c r="P423" s="9"/>
      <c r="Q423" s="9"/>
      <c r="R423" s="46"/>
      <c r="S423" s="46"/>
      <c r="T423" s="46"/>
      <c r="U423" s="46"/>
      <c r="V423" s="46"/>
      <c r="W423" s="46"/>
      <c r="X423" s="46"/>
      <c r="Y423" s="46"/>
    </row>
    <row r="424" spans="1:25" hidden="1" outlineLevel="1">
      <c r="A424" s="9"/>
      <c r="B424" s="9"/>
      <c r="C424" s="540"/>
      <c r="D424" s="88">
        <v>10</v>
      </c>
      <c r="E424" s="256">
        <f ca="1">OFFSET('Actual RAB roll forward'!H$41,0,D424-1)-SUM('Actual RAB roll forward'!H432:OFFSET('Actual RAB roll forward'!H432,0,Input!$Y$7-1))</f>
        <v>0</v>
      </c>
      <c r="F424" s="256">
        <f>IF(A30stdlife="N/A",0,IF(E424=0,0,A30stdlife+D424-Input!$Y$7))</f>
        <v>0</v>
      </c>
      <c r="G424" s="257"/>
      <c r="H424" s="256"/>
      <c r="I424" s="256"/>
      <c r="J424" s="256"/>
      <c r="K424" s="256"/>
      <c r="L424" s="256"/>
      <c r="M424" s="9"/>
      <c r="N424" s="9"/>
      <c r="O424" s="9"/>
      <c r="P424" s="9"/>
      <c r="Q424" s="9"/>
      <c r="R424" s="46"/>
      <c r="S424" s="46"/>
      <c r="T424" s="46"/>
      <c r="U424" s="46"/>
      <c r="V424" s="46"/>
      <c r="W424" s="46"/>
      <c r="X424" s="46"/>
      <c r="Y424" s="46"/>
    </row>
    <row r="425" spans="1:25" collapsed="1">
      <c r="A425" s="9"/>
      <c r="B425" s="9"/>
      <c r="C425" s="264">
        <f>Asset30</f>
        <v>0</v>
      </c>
      <c r="D425" s="9"/>
      <c r="E425" s="256">
        <f ca="1">SUM(E414:E424)</f>
        <v>0</v>
      </c>
      <c r="F425" s="256"/>
      <c r="G425" s="257"/>
      <c r="H425" s="256"/>
      <c r="I425" s="256"/>
      <c r="J425" s="256"/>
      <c r="K425" s="256"/>
      <c r="L425" s="256"/>
      <c r="M425" s="9"/>
      <c r="N425" s="9"/>
      <c r="O425" s="9"/>
      <c r="P425" s="9"/>
      <c r="Q425" s="9"/>
      <c r="R425" s="46"/>
      <c r="S425" s="46"/>
      <c r="T425" s="46"/>
      <c r="U425" s="46"/>
      <c r="V425" s="46"/>
      <c r="W425" s="46"/>
      <c r="X425" s="46"/>
      <c r="Y425" s="46"/>
    </row>
    <row r="426" spans="1:25">
      <c r="A426" s="9"/>
      <c r="B426" s="9"/>
      <c r="C426" s="9"/>
      <c r="D426" s="9"/>
      <c r="E426" s="37"/>
      <c r="F426" s="37"/>
      <c r="G426" s="257"/>
      <c r="H426" s="112"/>
      <c r="I426" s="112"/>
      <c r="J426" s="112"/>
      <c r="K426" s="112"/>
      <c r="L426" s="112"/>
      <c r="M426" s="9"/>
      <c r="N426" s="9"/>
      <c r="O426" s="9"/>
      <c r="P426" s="9"/>
      <c r="Q426" s="9"/>
      <c r="R426" s="46"/>
      <c r="S426" s="46"/>
      <c r="T426" s="46"/>
      <c r="U426" s="46"/>
      <c r="V426" s="46"/>
      <c r="W426" s="46"/>
      <c r="X426" s="46"/>
      <c r="Y426" s="46"/>
    </row>
    <row r="427" spans="1:25">
      <c r="A427" s="9"/>
      <c r="B427" s="9"/>
      <c r="C427" s="9"/>
      <c r="D427" s="9"/>
      <c r="E427" s="37"/>
      <c r="F427" s="37"/>
      <c r="G427" s="257"/>
      <c r="H427" s="112"/>
      <c r="I427" s="112"/>
      <c r="J427" s="112"/>
      <c r="K427" s="112"/>
      <c r="L427" s="112"/>
      <c r="M427" s="9"/>
      <c r="N427" s="9"/>
      <c r="O427" s="9"/>
      <c r="P427" s="9"/>
      <c r="Q427" s="9"/>
      <c r="R427" s="46"/>
      <c r="S427" s="46"/>
      <c r="T427" s="46"/>
      <c r="U427" s="46"/>
      <c r="V427" s="46"/>
      <c r="W427" s="46"/>
      <c r="X427" s="46"/>
      <c r="Y427" s="46"/>
    </row>
    <row r="428" spans="1:25">
      <c r="A428" s="9"/>
      <c r="B428" s="9"/>
      <c r="C428" s="9"/>
      <c r="D428" s="9"/>
      <c r="E428" s="37"/>
      <c r="F428" s="37"/>
      <c r="G428" s="257"/>
      <c r="H428" s="112"/>
      <c r="I428" s="112"/>
      <c r="J428" s="112"/>
      <c r="K428" s="112"/>
      <c r="L428" s="112"/>
      <c r="M428" s="9"/>
      <c r="N428" s="9"/>
      <c r="O428" s="9"/>
      <c r="P428" s="9"/>
      <c r="Q428" s="9"/>
      <c r="R428" s="46"/>
      <c r="S428" s="46"/>
      <c r="T428" s="46"/>
      <c r="U428" s="46"/>
      <c r="V428" s="46"/>
      <c r="W428" s="46"/>
      <c r="X428" s="46"/>
      <c r="Y428" s="46"/>
    </row>
    <row r="429" spans="1:25">
      <c r="A429" s="9"/>
      <c r="B429" s="9"/>
      <c r="C429" s="9"/>
      <c r="D429" s="9"/>
      <c r="E429" s="37"/>
      <c r="F429" s="37"/>
      <c r="G429" s="257"/>
      <c r="H429" s="112"/>
      <c r="I429" s="112"/>
      <c r="J429" s="112"/>
      <c r="K429" s="112"/>
      <c r="L429" s="112"/>
      <c r="M429" s="9"/>
      <c r="N429" s="9"/>
      <c r="O429" s="9"/>
      <c r="P429" s="9"/>
      <c r="Q429" s="9"/>
      <c r="R429" s="46"/>
      <c r="S429" s="46"/>
      <c r="T429" s="46"/>
      <c r="U429" s="46"/>
      <c r="V429" s="46"/>
      <c r="W429" s="46"/>
      <c r="X429" s="46"/>
      <c r="Y429" s="46"/>
    </row>
    <row r="430" spans="1:25">
      <c r="A430" s="9"/>
      <c r="B430" s="9"/>
      <c r="C430" s="9"/>
      <c r="D430" s="9"/>
      <c r="E430" s="37"/>
      <c r="F430" s="37"/>
      <c r="G430" s="257"/>
      <c r="H430" s="112"/>
      <c r="I430" s="112"/>
      <c r="J430" s="112"/>
      <c r="K430" s="112"/>
      <c r="L430" s="112"/>
      <c r="M430" s="9"/>
      <c r="N430" s="9"/>
      <c r="O430" s="9"/>
      <c r="P430" s="9"/>
      <c r="Q430" s="9"/>
      <c r="R430" s="46"/>
      <c r="S430" s="46"/>
      <c r="T430" s="46"/>
      <c r="U430" s="46"/>
      <c r="V430" s="46"/>
      <c r="W430" s="46"/>
      <c r="X430" s="46"/>
      <c r="Y430" s="46"/>
    </row>
    <row r="431" spans="1:25">
      <c r="A431" s="9"/>
      <c r="B431" s="9"/>
      <c r="C431" s="9"/>
      <c r="D431" s="9"/>
      <c r="E431" s="37"/>
      <c r="F431" s="37"/>
      <c r="G431" s="257"/>
      <c r="H431" s="112"/>
      <c r="I431" s="112"/>
      <c r="J431" s="112"/>
      <c r="K431" s="112"/>
      <c r="L431" s="112"/>
      <c r="M431" s="9"/>
      <c r="N431" s="9"/>
      <c r="O431" s="9"/>
      <c r="P431" s="9"/>
      <c r="Q431" s="9"/>
      <c r="R431" s="46"/>
      <c r="S431" s="46"/>
      <c r="T431" s="46"/>
      <c r="U431" s="46"/>
      <c r="V431" s="46"/>
      <c r="W431" s="46"/>
      <c r="X431" s="46"/>
      <c r="Y431" s="46"/>
    </row>
    <row r="432" spans="1:25">
      <c r="A432" s="9"/>
      <c r="B432" s="9"/>
      <c r="C432" s="9"/>
      <c r="D432" s="9"/>
      <c r="E432" s="37"/>
      <c r="F432" s="37"/>
      <c r="G432" s="257"/>
      <c r="H432" s="112"/>
      <c r="I432" s="112"/>
      <c r="J432" s="112"/>
      <c r="K432" s="112"/>
      <c r="L432" s="112"/>
      <c r="M432" s="9"/>
      <c r="N432" s="9"/>
      <c r="O432" s="9"/>
      <c r="P432" s="9"/>
      <c r="Q432" s="9"/>
      <c r="R432" s="46"/>
      <c r="S432" s="46"/>
      <c r="T432" s="46"/>
      <c r="U432" s="46"/>
      <c r="V432" s="46"/>
      <c r="W432" s="46"/>
      <c r="X432" s="46"/>
      <c r="Y432" s="46"/>
    </row>
    <row r="433" spans="1:25">
      <c r="A433" s="9"/>
      <c r="B433" s="9"/>
      <c r="C433" s="9"/>
      <c r="D433" s="9"/>
      <c r="E433" s="37"/>
      <c r="F433" s="37"/>
      <c r="G433" s="257"/>
      <c r="H433" s="112"/>
      <c r="I433" s="112"/>
      <c r="J433" s="112"/>
      <c r="K433" s="112"/>
      <c r="L433" s="112"/>
      <c r="M433" s="9"/>
      <c r="N433" s="9"/>
      <c r="O433" s="9"/>
      <c r="P433" s="9"/>
      <c r="Q433" s="9"/>
      <c r="R433" s="46"/>
      <c r="S433" s="46"/>
      <c r="T433" s="46"/>
      <c r="U433" s="46"/>
      <c r="V433" s="46"/>
      <c r="W433" s="46"/>
      <c r="X433" s="46"/>
      <c r="Y433" s="46"/>
    </row>
    <row r="434" spans="1:25">
      <c r="A434" s="9"/>
      <c r="B434" s="9"/>
      <c r="C434" s="9"/>
      <c r="D434" s="9"/>
      <c r="E434" s="37"/>
      <c r="F434" s="37"/>
      <c r="G434" s="257"/>
      <c r="H434" s="112"/>
      <c r="I434" s="112"/>
      <c r="J434" s="112"/>
      <c r="K434" s="112"/>
      <c r="L434" s="112"/>
      <c r="M434" s="9"/>
      <c r="N434" s="9"/>
      <c r="O434" s="9"/>
      <c r="P434" s="9"/>
      <c r="Q434" s="9"/>
      <c r="R434" s="46"/>
      <c r="S434" s="46"/>
      <c r="T434" s="46"/>
      <c r="U434" s="46"/>
      <c r="V434" s="46"/>
      <c r="W434" s="46"/>
      <c r="X434" s="46"/>
      <c r="Y434" s="46"/>
    </row>
    <row r="435" spans="1:25">
      <c r="A435" s="9"/>
      <c r="B435" s="9"/>
      <c r="C435" s="9"/>
      <c r="D435" s="9"/>
      <c r="E435" s="37"/>
      <c r="F435" s="37"/>
      <c r="G435" s="257"/>
      <c r="H435" s="112"/>
      <c r="I435" s="112"/>
      <c r="J435" s="112"/>
      <c r="K435" s="112"/>
      <c r="L435" s="112"/>
      <c r="M435" s="9"/>
      <c r="N435" s="9"/>
      <c r="O435" s="9"/>
      <c r="P435" s="9"/>
      <c r="Q435" s="9"/>
      <c r="R435" s="46"/>
      <c r="S435" s="46"/>
      <c r="T435" s="46"/>
      <c r="U435" s="46"/>
      <c r="V435" s="46"/>
      <c r="W435" s="46"/>
      <c r="X435" s="46"/>
      <c r="Y435" s="46"/>
    </row>
    <row r="436" spans="1:25">
      <c r="A436" s="9"/>
      <c r="B436" s="9"/>
      <c r="C436" s="9"/>
      <c r="D436" s="9"/>
      <c r="E436" s="37"/>
      <c r="F436" s="37"/>
      <c r="G436" s="257"/>
      <c r="H436" s="112"/>
      <c r="I436" s="112"/>
      <c r="J436" s="112"/>
      <c r="K436" s="112"/>
      <c r="L436" s="112"/>
      <c r="M436" s="9"/>
      <c r="N436" s="9"/>
      <c r="O436" s="9"/>
      <c r="P436" s="9"/>
      <c r="Q436" s="9"/>
      <c r="R436" s="46"/>
      <c r="S436" s="46"/>
      <c r="T436" s="46"/>
      <c r="U436" s="46"/>
      <c r="V436" s="46"/>
      <c r="W436" s="46"/>
      <c r="X436" s="46"/>
      <c r="Y436" s="46"/>
    </row>
    <row r="437" spans="1:25">
      <c r="A437" s="9"/>
      <c r="B437" s="9"/>
      <c r="C437" s="9"/>
      <c r="D437" s="9"/>
      <c r="E437" s="37"/>
      <c r="F437" s="37"/>
      <c r="G437" s="257"/>
      <c r="H437" s="112"/>
      <c r="I437" s="112"/>
      <c r="J437" s="112"/>
      <c r="K437" s="112"/>
      <c r="L437" s="112"/>
      <c r="M437" s="9"/>
      <c r="N437" s="9"/>
      <c r="O437" s="9"/>
      <c r="P437" s="9"/>
      <c r="Q437" s="9"/>
      <c r="R437" s="46"/>
      <c r="S437" s="46"/>
      <c r="T437" s="46"/>
      <c r="U437" s="46"/>
      <c r="V437" s="46"/>
      <c r="W437" s="46"/>
      <c r="X437" s="46"/>
      <c r="Y437" s="46"/>
    </row>
    <row r="438" spans="1:25">
      <c r="A438" s="9"/>
      <c r="B438" s="9"/>
      <c r="C438" s="9"/>
      <c r="D438" s="9"/>
      <c r="E438" s="37"/>
      <c r="F438" s="37"/>
      <c r="G438" s="257"/>
      <c r="H438" s="112"/>
      <c r="I438" s="112"/>
      <c r="J438" s="112"/>
      <c r="K438" s="112"/>
      <c r="L438" s="112"/>
      <c r="M438" s="9"/>
      <c r="N438" s="9"/>
      <c r="O438" s="9"/>
      <c r="P438" s="9"/>
      <c r="Q438" s="9"/>
      <c r="R438" s="46"/>
      <c r="S438" s="46"/>
      <c r="T438" s="46"/>
      <c r="U438" s="46"/>
      <c r="V438" s="46"/>
      <c r="W438" s="46"/>
      <c r="X438" s="46"/>
      <c r="Y438" s="46"/>
    </row>
    <row r="439" spans="1:25">
      <c r="A439" s="9"/>
      <c r="B439" s="9"/>
      <c r="C439" s="9"/>
      <c r="D439" s="9"/>
      <c r="E439" s="37"/>
      <c r="F439" s="37"/>
      <c r="G439" s="257"/>
      <c r="H439" s="112"/>
      <c r="I439" s="112"/>
      <c r="J439" s="112"/>
      <c r="K439" s="112"/>
      <c r="L439" s="112"/>
      <c r="M439" s="9"/>
      <c r="N439" s="9"/>
      <c r="O439" s="9"/>
      <c r="P439" s="9"/>
      <c r="Q439" s="9"/>
      <c r="R439" s="46"/>
      <c r="S439" s="46"/>
      <c r="T439" s="46"/>
      <c r="U439" s="46"/>
      <c r="V439" s="46"/>
      <c r="W439" s="46"/>
      <c r="X439" s="46"/>
      <c r="Y439" s="46"/>
    </row>
    <row r="440" spans="1:25">
      <c r="A440" s="9"/>
      <c r="B440" s="9"/>
      <c r="C440" s="9"/>
      <c r="D440" s="9"/>
      <c r="E440" s="37"/>
      <c r="F440" s="37"/>
      <c r="G440" s="257"/>
      <c r="H440" s="112"/>
      <c r="I440" s="112"/>
      <c r="J440" s="112"/>
      <c r="K440" s="112"/>
      <c r="L440" s="112"/>
      <c r="M440" s="9"/>
      <c r="N440" s="9"/>
      <c r="O440" s="9"/>
      <c r="P440" s="9"/>
      <c r="Q440" s="9"/>
      <c r="R440" s="46"/>
      <c r="S440" s="46"/>
      <c r="T440" s="46"/>
      <c r="U440" s="46"/>
      <c r="V440" s="46"/>
      <c r="W440" s="46"/>
      <c r="X440" s="46"/>
      <c r="Y440" s="46"/>
    </row>
    <row r="441" spans="1:25">
      <c r="A441" s="9"/>
      <c r="B441" s="9"/>
      <c r="C441" s="9"/>
      <c r="D441" s="9"/>
      <c r="E441" s="37"/>
      <c r="F441" s="37"/>
      <c r="G441" s="257"/>
      <c r="H441" s="112"/>
      <c r="I441" s="112"/>
      <c r="J441" s="112"/>
      <c r="K441" s="112"/>
      <c r="L441" s="112"/>
      <c r="M441" s="9"/>
      <c r="N441" s="9"/>
      <c r="O441" s="9"/>
      <c r="P441" s="9"/>
      <c r="Q441" s="9"/>
      <c r="R441" s="46"/>
      <c r="S441" s="46"/>
      <c r="T441" s="46"/>
      <c r="U441" s="46"/>
      <c r="V441" s="46"/>
      <c r="W441" s="46"/>
      <c r="X441" s="46"/>
      <c r="Y441" s="46"/>
    </row>
    <row r="442" spans="1:25">
      <c r="A442" s="9"/>
      <c r="B442" s="9"/>
      <c r="C442" s="9"/>
      <c r="D442" s="9"/>
      <c r="E442" s="37"/>
      <c r="F442" s="37"/>
      <c r="G442" s="257"/>
      <c r="H442" s="112"/>
      <c r="I442" s="112"/>
      <c r="J442" s="112"/>
      <c r="K442" s="112"/>
      <c r="L442" s="112"/>
      <c r="M442" s="9"/>
      <c r="N442" s="9"/>
      <c r="O442" s="9"/>
      <c r="P442" s="9"/>
      <c r="Q442" s="9"/>
      <c r="R442" s="46"/>
      <c r="S442" s="46"/>
      <c r="T442" s="46"/>
      <c r="U442" s="46"/>
      <c r="V442" s="46"/>
      <c r="W442" s="46"/>
      <c r="X442" s="46"/>
      <c r="Y442" s="46"/>
    </row>
    <row r="443" spans="1:25">
      <c r="A443" s="9"/>
      <c r="B443" s="9"/>
      <c r="C443" s="9"/>
      <c r="D443" s="9"/>
      <c r="E443" s="37"/>
      <c r="F443" s="37"/>
      <c r="G443" s="257"/>
      <c r="H443" s="112"/>
      <c r="I443" s="112"/>
      <c r="J443" s="112"/>
      <c r="K443" s="112"/>
      <c r="L443" s="112"/>
      <c r="M443" s="9"/>
      <c r="N443" s="9"/>
      <c r="O443" s="9"/>
      <c r="P443" s="9"/>
      <c r="Q443" s="9"/>
      <c r="R443" s="46"/>
      <c r="S443" s="46"/>
      <c r="T443" s="46"/>
      <c r="U443" s="46"/>
      <c r="V443" s="46"/>
      <c r="W443" s="46"/>
      <c r="X443" s="46"/>
      <c r="Y443" s="46"/>
    </row>
    <row r="444" spans="1:25">
      <c r="A444" s="9"/>
      <c r="B444" s="9"/>
      <c r="C444" s="9"/>
      <c r="D444" s="9"/>
      <c r="E444" s="37"/>
      <c r="F444" s="37"/>
      <c r="G444" s="257"/>
      <c r="H444" s="112"/>
      <c r="I444" s="112"/>
      <c r="J444" s="112"/>
      <c r="K444" s="112"/>
      <c r="L444" s="112"/>
      <c r="M444" s="9"/>
      <c r="N444" s="9"/>
      <c r="O444" s="9"/>
      <c r="P444" s="9"/>
      <c r="Q444" s="9"/>
      <c r="R444" s="46"/>
      <c r="S444" s="46"/>
      <c r="T444" s="46"/>
      <c r="U444" s="46"/>
      <c r="V444" s="46"/>
      <c r="W444" s="46"/>
      <c r="X444" s="46"/>
      <c r="Y444" s="46"/>
    </row>
    <row r="445" spans="1:25">
      <c r="A445" s="9"/>
      <c r="B445" s="9"/>
      <c r="C445" s="9"/>
      <c r="D445" s="9"/>
      <c r="E445" s="37"/>
      <c r="F445" s="37"/>
      <c r="G445" s="257"/>
      <c r="H445" s="112"/>
      <c r="I445" s="112"/>
      <c r="J445" s="112"/>
      <c r="K445" s="112"/>
      <c r="L445" s="112"/>
      <c r="M445" s="9"/>
      <c r="N445" s="9"/>
      <c r="O445" s="9"/>
      <c r="P445" s="9"/>
      <c r="Q445" s="9"/>
      <c r="R445" s="46"/>
      <c r="S445" s="46"/>
      <c r="T445" s="46"/>
      <c r="U445" s="46"/>
      <c r="V445" s="46"/>
      <c r="W445" s="46"/>
      <c r="X445" s="46"/>
      <c r="Y445" s="46"/>
    </row>
    <row r="446" spans="1:25">
      <c r="A446" s="9"/>
      <c r="B446" s="9"/>
      <c r="C446" s="9"/>
      <c r="D446" s="9"/>
      <c r="E446" s="37"/>
      <c r="F446" s="37"/>
      <c r="G446" s="257"/>
      <c r="H446" s="112"/>
      <c r="I446" s="112"/>
      <c r="J446" s="112"/>
      <c r="K446" s="112"/>
      <c r="L446" s="112"/>
      <c r="M446" s="9"/>
      <c r="N446" s="9"/>
      <c r="O446" s="9"/>
      <c r="P446" s="9"/>
      <c r="Q446" s="9"/>
      <c r="R446" s="46"/>
      <c r="S446" s="46"/>
      <c r="T446" s="46"/>
      <c r="U446" s="46"/>
      <c r="V446" s="46"/>
      <c r="W446" s="46"/>
      <c r="X446" s="46"/>
      <c r="Y446" s="46"/>
    </row>
    <row r="447" spans="1:25">
      <c r="A447" s="9"/>
      <c r="B447" s="9"/>
      <c r="C447" s="9"/>
      <c r="D447" s="9"/>
      <c r="E447" s="37"/>
      <c r="F447" s="37"/>
      <c r="G447" s="257"/>
      <c r="H447" s="112"/>
      <c r="I447" s="112"/>
      <c r="J447" s="112"/>
      <c r="K447" s="112"/>
      <c r="L447" s="112"/>
      <c r="M447" s="9"/>
      <c r="N447" s="9"/>
      <c r="O447" s="9"/>
      <c r="P447" s="9"/>
      <c r="Q447" s="9"/>
      <c r="R447" s="46"/>
      <c r="S447" s="46"/>
      <c r="T447" s="46"/>
      <c r="U447" s="46"/>
      <c r="V447" s="46"/>
      <c r="W447" s="46"/>
      <c r="X447" s="46"/>
      <c r="Y447" s="46"/>
    </row>
    <row r="448" spans="1:25">
      <c r="A448" s="9"/>
      <c r="B448" s="9"/>
      <c r="C448" s="9"/>
      <c r="D448" s="9"/>
      <c r="E448" s="37"/>
      <c r="F448" s="37"/>
      <c r="G448" s="257"/>
      <c r="H448" s="112"/>
      <c r="I448" s="112"/>
      <c r="J448" s="112"/>
      <c r="K448" s="112"/>
      <c r="L448" s="112"/>
      <c r="M448" s="9"/>
      <c r="N448" s="9"/>
      <c r="O448" s="9"/>
      <c r="P448" s="9"/>
      <c r="Q448" s="9"/>
      <c r="R448" s="46"/>
      <c r="S448" s="46"/>
      <c r="T448" s="46"/>
      <c r="U448" s="46"/>
      <c r="V448" s="46"/>
      <c r="W448" s="46"/>
      <c r="X448" s="46"/>
      <c r="Y448" s="46"/>
    </row>
    <row r="449" spans="1:25">
      <c r="A449" s="9"/>
      <c r="B449" s="9"/>
      <c r="C449" s="9"/>
      <c r="D449" s="9"/>
      <c r="E449" s="37"/>
      <c r="F449" s="37"/>
      <c r="G449" s="257"/>
      <c r="H449" s="112"/>
      <c r="I449" s="112"/>
      <c r="J449" s="112"/>
      <c r="K449" s="112"/>
      <c r="L449" s="112"/>
      <c r="M449" s="9"/>
      <c r="N449" s="9"/>
      <c r="O449" s="9"/>
      <c r="P449" s="9"/>
      <c r="Q449" s="9"/>
      <c r="R449" s="46"/>
      <c r="S449" s="46"/>
      <c r="T449" s="46"/>
      <c r="U449" s="46"/>
      <c r="V449" s="46"/>
      <c r="W449" s="46"/>
      <c r="X449" s="46"/>
      <c r="Y449" s="46"/>
    </row>
    <row r="450" spans="1:25">
      <c r="A450" s="9"/>
      <c r="B450" s="9"/>
      <c r="C450" s="9"/>
      <c r="D450" s="9"/>
      <c r="E450" s="37"/>
      <c r="F450" s="37"/>
      <c r="G450" s="257"/>
      <c r="H450" s="112"/>
      <c r="I450" s="112"/>
      <c r="J450" s="112"/>
      <c r="K450" s="112"/>
      <c r="L450" s="112"/>
      <c r="M450" s="9"/>
      <c r="N450" s="9"/>
      <c r="O450" s="9"/>
      <c r="P450" s="9"/>
      <c r="Q450" s="9"/>
      <c r="R450" s="46"/>
      <c r="S450" s="46"/>
      <c r="T450" s="46"/>
      <c r="U450" s="46"/>
      <c r="V450" s="46"/>
      <c r="W450" s="46"/>
      <c r="X450" s="46"/>
      <c r="Y450" s="46"/>
    </row>
    <row r="451" spans="1:25">
      <c r="A451" s="9"/>
      <c r="B451" s="9"/>
      <c r="C451" s="9"/>
      <c r="D451" s="9"/>
      <c r="E451" s="37"/>
      <c r="F451" s="37"/>
      <c r="G451" s="257"/>
      <c r="H451" s="112"/>
      <c r="I451" s="112"/>
      <c r="J451" s="112"/>
      <c r="K451" s="112"/>
      <c r="L451" s="112"/>
      <c r="M451" s="9"/>
      <c r="N451" s="9"/>
      <c r="O451" s="9"/>
      <c r="P451" s="9"/>
      <c r="Q451" s="9"/>
      <c r="R451" s="46"/>
      <c r="S451" s="46"/>
      <c r="T451" s="46"/>
      <c r="U451" s="46"/>
      <c r="V451" s="46"/>
      <c r="W451" s="46"/>
      <c r="X451" s="46"/>
      <c r="Y451" s="46"/>
    </row>
    <row r="452" spans="1:25">
      <c r="A452" s="9"/>
      <c r="B452" s="9"/>
      <c r="C452" s="9"/>
      <c r="D452" s="9"/>
      <c r="E452" s="37"/>
      <c r="F452" s="37"/>
      <c r="G452" s="257"/>
      <c r="H452" s="112"/>
      <c r="I452" s="112"/>
      <c r="J452" s="112"/>
      <c r="K452" s="112"/>
      <c r="L452" s="112"/>
      <c r="M452" s="9"/>
      <c r="N452" s="9"/>
      <c r="O452" s="9"/>
      <c r="P452" s="9"/>
      <c r="Q452" s="9"/>
      <c r="R452" s="46"/>
      <c r="S452" s="46"/>
      <c r="T452" s="46"/>
      <c r="U452" s="46"/>
      <c r="V452" s="46"/>
      <c r="W452" s="46"/>
      <c r="X452" s="46"/>
      <c r="Y452" s="46"/>
    </row>
    <row r="453" spans="1:25">
      <c r="A453" s="9"/>
      <c r="B453" s="9"/>
      <c r="C453" s="9"/>
      <c r="D453" s="9"/>
      <c r="E453" s="37"/>
      <c r="F453" s="37"/>
      <c r="G453" s="257"/>
      <c r="H453" s="112"/>
      <c r="I453" s="112"/>
      <c r="J453" s="112"/>
      <c r="K453" s="112"/>
      <c r="L453" s="112"/>
      <c r="M453" s="9"/>
      <c r="N453" s="9"/>
      <c r="O453" s="9"/>
      <c r="P453" s="9"/>
      <c r="Q453" s="9"/>
      <c r="R453" s="46"/>
      <c r="S453" s="46"/>
      <c r="T453" s="46"/>
      <c r="U453" s="46"/>
      <c r="V453" s="46"/>
      <c r="W453" s="46"/>
      <c r="X453" s="46"/>
      <c r="Y453" s="46"/>
    </row>
    <row r="454" spans="1:25">
      <c r="A454" s="9"/>
      <c r="B454" s="9"/>
      <c r="C454" s="9"/>
      <c r="D454" s="9"/>
      <c r="E454" s="37"/>
      <c r="F454" s="37"/>
      <c r="G454" s="257"/>
      <c r="H454" s="112"/>
      <c r="I454" s="112"/>
      <c r="J454" s="112"/>
      <c r="K454" s="112"/>
      <c r="L454" s="112"/>
      <c r="M454" s="9"/>
      <c r="N454" s="9"/>
      <c r="O454" s="9"/>
      <c r="P454" s="9"/>
      <c r="Q454" s="9"/>
      <c r="R454" s="46"/>
      <c r="S454" s="46"/>
      <c r="T454" s="46"/>
      <c r="U454" s="46"/>
      <c r="V454" s="46"/>
      <c r="W454" s="46"/>
      <c r="X454" s="46"/>
      <c r="Y454" s="46"/>
    </row>
    <row r="455" spans="1:25">
      <c r="A455" s="9"/>
      <c r="B455" s="9"/>
      <c r="C455" s="9"/>
      <c r="D455" s="9"/>
      <c r="E455" s="37"/>
      <c r="F455" s="37"/>
      <c r="G455" s="257"/>
      <c r="H455" s="112"/>
      <c r="I455" s="112"/>
      <c r="J455" s="112"/>
      <c r="K455" s="112"/>
      <c r="L455" s="112"/>
      <c r="M455" s="9"/>
      <c r="N455" s="9"/>
      <c r="O455" s="9"/>
      <c r="P455" s="9"/>
      <c r="Q455" s="9"/>
      <c r="R455" s="46"/>
      <c r="S455" s="46"/>
      <c r="T455" s="46"/>
      <c r="U455" s="46"/>
      <c r="V455" s="46"/>
      <c r="W455" s="46"/>
      <c r="X455" s="46"/>
      <c r="Y455" s="46"/>
    </row>
    <row r="456" spans="1:25">
      <c r="A456" s="9"/>
      <c r="B456" s="9"/>
      <c r="C456" s="9"/>
      <c r="D456" s="9"/>
      <c r="E456" s="37"/>
      <c r="F456" s="37"/>
      <c r="G456" s="257"/>
      <c r="H456" s="112"/>
      <c r="I456" s="112"/>
      <c r="J456" s="112"/>
      <c r="K456" s="112"/>
      <c r="L456" s="112"/>
      <c r="M456" s="9"/>
      <c r="N456" s="9"/>
      <c r="O456" s="9"/>
      <c r="P456" s="9"/>
      <c r="Q456" s="9"/>
      <c r="R456" s="46"/>
      <c r="S456" s="46"/>
      <c r="T456" s="46"/>
      <c r="U456" s="46"/>
      <c r="V456" s="46"/>
      <c r="W456" s="46"/>
      <c r="X456" s="46"/>
      <c r="Y456" s="46"/>
    </row>
    <row r="457" spans="1:25">
      <c r="A457" s="9"/>
      <c r="B457" s="9"/>
      <c r="C457" s="9"/>
      <c r="D457" s="9"/>
      <c r="E457" s="37"/>
      <c r="F457" s="37"/>
      <c r="G457" s="257"/>
      <c r="H457" s="112"/>
      <c r="I457" s="112"/>
      <c r="J457" s="112"/>
      <c r="K457" s="112"/>
      <c r="L457" s="112"/>
      <c r="M457" s="9"/>
      <c r="N457" s="9"/>
      <c r="O457" s="9"/>
      <c r="P457" s="9"/>
      <c r="Q457" s="9"/>
      <c r="R457" s="46"/>
      <c r="S457" s="46"/>
      <c r="T457" s="46"/>
      <c r="U457" s="46"/>
      <c r="V457" s="46"/>
      <c r="W457" s="46"/>
      <c r="X457" s="46"/>
      <c r="Y457" s="46"/>
    </row>
    <row r="458" spans="1:25">
      <c r="A458" s="9"/>
      <c r="B458" s="9"/>
      <c r="C458" s="9"/>
      <c r="D458" s="9"/>
      <c r="E458" s="37"/>
      <c r="F458" s="37"/>
      <c r="G458" s="257"/>
      <c r="H458" s="112"/>
      <c r="I458" s="112"/>
      <c r="J458" s="112"/>
      <c r="K458" s="112"/>
      <c r="L458" s="112"/>
      <c r="M458" s="9"/>
      <c r="N458" s="9"/>
      <c r="O458" s="9"/>
      <c r="P458" s="9"/>
      <c r="Q458" s="9"/>
      <c r="R458" s="46"/>
      <c r="S458" s="46"/>
      <c r="T458" s="46"/>
      <c r="U458" s="46"/>
      <c r="V458" s="46"/>
      <c r="W458" s="46"/>
      <c r="X458" s="46"/>
      <c r="Y458" s="46"/>
    </row>
    <row r="459" spans="1:25">
      <c r="A459" s="9"/>
      <c r="B459" s="9"/>
      <c r="C459" s="9"/>
      <c r="D459" s="9"/>
      <c r="E459" s="37"/>
      <c r="F459" s="37"/>
      <c r="G459" s="257"/>
      <c r="H459" s="112"/>
      <c r="I459" s="112"/>
      <c r="J459" s="112"/>
      <c r="K459" s="112"/>
      <c r="L459" s="112"/>
      <c r="M459" s="9"/>
      <c r="N459" s="9"/>
      <c r="O459" s="9"/>
      <c r="P459" s="9"/>
      <c r="Q459" s="9"/>
      <c r="R459" s="46"/>
      <c r="S459" s="46"/>
      <c r="T459" s="46"/>
      <c r="U459" s="46"/>
      <c r="V459" s="46"/>
      <c r="W459" s="46"/>
      <c r="X459" s="46"/>
      <c r="Y459" s="46"/>
    </row>
    <row r="460" spans="1:25">
      <c r="A460" s="9"/>
      <c r="B460" s="9"/>
      <c r="C460" s="9"/>
      <c r="D460" s="9"/>
      <c r="E460" s="37"/>
      <c r="F460" s="37"/>
      <c r="G460" s="257"/>
      <c r="H460" s="112"/>
      <c r="I460" s="112"/>
      <c r="J460" s="112"/>
      <c r="K460" s="112"/>
      <c r="L460" s="112"/>
      <c r="M460" s="9"/>
      <c r="N460" s="9"/>
      <c r="O460" s="9"/>
      <c r="P460" s="9"/>
      <c r="Q460" s="9"/>
      <c r="R460" s="46"/>
      <c r="S460" s="46"/>
      <c r="T460" s="46"/>
      <c r="U460" s="46"/>
      <c r="V460" s="46"/>
      <c r="W460" s="46"/>
      <c r="X460" s="46"/>
      <c r="Y460" s="46"/>
    </row>
    <row r="461" spans="1:25">
      <c r="A461" s="9"/>
      <c r="B461" s="9"/>
      <c r="C461" s="9"/>
      <c r="D461" s="9"/>
      <c r="E461" s="37"/>
      <c r="F461" s="37"/>
      <c r="G461" s="257"/>
      <c r="H461" s="112"/>
      <c r="I461" s="112"/>
      <c r="J461" s="112"/>
      <c r="K461" s="112"/>
      <c r="L461" s="112"/>
      <c r="M461" s="9"/>
      <c r="N461" s="9"/>
      <c r="O461" s="9"/>
      <c r="P461" s="9"/>
      <c r="Q461" s="9"/>
      <c r="R461" s="46"/>
      <c r="S461" s="46"/>
      <c r="T461" s="46"/>
      <c r="U461" s="46"/>
      <c r="V461" s="46"/>
      <c r="W461" s="46"/>
      <c r="X461" s="46"/>
      <c r="Y461" s="46"/>
    </row>
    <row r="462" spans="1:25">
      <c r="A462" s="9"/>
      <c r="B462" s="9"/>
      <c r="C462" s="9"/>
      <c r="D462" s="9"/>
      <c r="E462" s="37"/>
      <c r="F462" s="37"/>
      <c r="G462" s="257"/>
      <c r="H462" s="112"/>
      <c r="I462" s="112"/>
      <c r="J462" s="112"/>
      <c r="K462" s="112"/>
      <c r="L462" s="112"/>
      <c r="M462" s="9"/>
      <c r="N462" s="9"/>
      <c r="O462" s="9"/>
      <c r="P462" s="9"/>
      <c r="Q462" s="9"/>
      <c r="R462" s="46"/>
      <c r="S462" s="46"/>
      <c r="T462" s="46"/>
      <c r="U462" s="46"/>
      <c r="V462" s="46"/>
      <c r="W462" s="46"/>
      <c r="X462" s="46"/>
      <c r="Y462" s="46"/>
    </row>
    <row r="463" spans="1:25">
      <c r="A463" s="9"/>
      <c r="B463" s="9"/>
      <c r="C463" s="9"/>
      <c r="D463" s="9"/>
      <c r="E463" s="37"/>
      <c r="F463" s="37"/>
      <c r="G463" s="257"/>
      <c r="H463" s="112"/>
      <c r="I463" s="112"/>
      <c r="J463" s="112"/>
      <c r="K463" s="112"/>
      <c r="L463" s="112"/>
      <c r="M463" s="9"/>
      <c r="N463" s="9"/>
      <c r="O463" s="9"/>
      <c r="P463" s="9"/>
      <c r="Q463" s="9"/>
      <c r="R463" s="46"/>
      <c r="S463" s="46"/>
      <c r="T463" s="46"/>
      <c r="U463" s="46"/>
      <c r="V463" s="46"/>
      <c r="W463" s="46"/>
      <c r="X463" s="46"/>
      <c r="Y463" s="46"/>
    </row>
    <row r="464" spans="1:25">
      <c r="A464" s="9"/>
      <c r="B464" s="9"/>
      <c r="C464" s="9"/>
      <c r="D464" s="9"/>
      <c r="E464" s="37"/>
      <c r="F464" s="37"/>
      <c r="G464" s="257"/>
      <c r="H464" s="112"/>
      <c r="I464" s="112"/>
      <c r="J464" s="112"/>
      <c r="K464" s="112"/>
      <c r="L464" s="112"/>
      <c r="M464" s="9"/>
      <c r="N464" s="9"/>
      <c r="O464" s="9"/>
      <c r="P464" s="9"/>
      <c r="Q464" s="9"/>
      <c r="R464" s="46"/>
      <c r="S464" s="46"/>
      <c r="T464" s="46"/>
      <c r="U464" s="46"/>
      <c r="V464" s="46"/>
      <c r="W464" s="46"/>
      <c r="X464" s="46"/>
      <c r="Y464" s="46"/>
    </row>
    <row r="465" spans="1:25">
      <c r="A465" s="9"/>
      <c r="B465" s="9"/>
      <c r="C465" s="9"/>
      <c r="D465" s="9"/>
      <c r="E465" s="37"/>
      <c r="F465" s="37"/>
      <c r="G465" s="257"/>
      <c r="H465" s="112"/>
      <c r="I465" s="112"/>
      <c r="J465" s="112"/>
      <c r="K465" s="112"/>
      <c r="L465" s="112"/>
      <c r="M465" s="9"/>
      <c r="N465" s="9"/>
      <c r="O465" s="9"/>
      <c r="P465" s="9"/>
      <c r="Q465" s="9"/>
      <c r="R465" s="46"/>
      <c r="S465" s="46"/>
      <c r="T465" s="46"/>
      <c r="U465" s="46"/>
      <c r="V465" s="46"/>
      <c r="W465" s="46"/>
      <c r="X465" s="46"/>
      <c r="Y465" s="46"/>
    </row>
    <row r="466" spans="1:25">
      <c r="A466" s="9"/>
      <c r="B466" s="9"/>
      <c r="C466" s="9"/>
      <c r="D466" s="9"/>
      <c r="E466" s="37"/>
      <c r="F466" s="37"/>
      <c r="G466" s="257"/>
      <c r="H466" s="112"/>
      <c r="I466" s="112"/>
      <c r="J466" s="112"/>
      <c r="K466" s="112"/>
      <c r="L466" s="112"/>
      <c r="M466" s="9"/>
      <c r="N466" s="9"/>
      <c r="O466" s="9"/>
      <c r="P466" s="9"/>
      <c r="Q466" s="9"/>
      <c r="R466" s="46"/>
      <c r="S466" s="46"/>
      <c r="T466" s="46"/>
      <c r="U466" s="46"/>
      <c r="V466" s="46"/>
      <c r="W466" s="46"/>
      <c r="X466" s="46"/>
      <c r="Y466" s="46"/>
    </row>
    <row r="467" spans="1:25">
      <c r="A467" s="9"/>
      <c r="B467" s="9"/>
      <c r="C467" s="9"/>
      <c r="D467" s="9"/>
      <c r="E467" s="37"/>
      <c r="F467" s="37"/>
      <c r="G467" s="257"/>
      <c r="H467" s="112"/>
      <c r="I467" s="112"/>
      <c r="J467" s="112"/>
      <c r="K467" s="112"/>
      <c r="L467" s="112"/>
      <c r="M467" s="9"/>
      <c r="N467" s="9"/>
      <c r="O467" s="9"/>
      <c r="P467" s="9"/>
      <c r="Q467" s="9"/>
      <c r="R467" s="46"/>
      <c r="S467" s="46"/>
      <c r="T467" s="46"/>
      <c r="U467" s="46"/>
      <c r="V467" s="46"/>
      <c r="W467" s="46"/>
      <c r="X467" s="46"/>
      <c r="Y467" s="46"/>
    </row>
    <row r="468" spans="1:25">
      <c r="A468" s="9"/>
      <c r="B468" s="9"/>
      <c r="C468" s="9"/>
      <c r="D468" s="9"/>
      <c r="E468" s="37"/>
      <c r="F468" s="37"/>
      <c r="G468" s="257"/>
      <c r="H468" s="112"/>
      <c r="I468" s="112"/>
      <c r="J468" s="112"/>
      <c r="K468" s="112"/>
      <c r="L468" s="112"/>
      <c r="M468" s="9"/>
      <c r="N468" s="9"/>
      <c r="O468" s="9"/>
      <c r="P468" s="9"/>
      <c r="Q468" s="9"/>
      <c r="R468" s="46"/>
      <c r="S468" s="46"/>
      <c r="T468" s="46"/>
      <c r="U468" s="46"/>
      <c r="V468" s="46"/>
      <c r="W468" s="46"/>
      <c r="X468" s="46"/>
      <c r="Y468" s="46"/>
    </row>
    <row r="469" spans="1:25">
      <c r="A469" s="9"/>
      <c r="B469" s="9"/>
      <c r="C469" s="9"/>
      <c r="D469" s="9"/>
      <c r="E469" s="37"/>
      <c r="F469" s="37"/>
      <c r="G469" s="257"/>
      <c r="H469" s="112"/>
      <c r="I469" s="112"/>
      <c r="J469" s="112"/>
      <c r="K469" s="112"/>
      <c r="L469" s="112"/>
      <c r="M469" s="9"/>
      <c r="N469" s="9"/>
      <c r="O469" s="9"/>
      <c r="P469" s="9"/>
      <c r="Q469" s="9"/>
      <c r="R469" s="46"/>
      <c r="S469" s="46"/>
      <c r="T469" s="46"/>
      <c r="U469" s="46"/>
      <c r="V469" s="46"/>
      <c r="W469" s="46"/>
      <c r="X469" s="46"/>
      <c r="Y469" s="46"/>
    </row>
    <row r="470" spans="1:25">
      <c r="A470" s="9"/>
      <c r="B470" s="9"/>
      <c r="C470" s="9"/>
      <c r="D470" s="9"/>
      <c r="E470" s="37"/>
      <c r="F470" s="37"/>
      <c r="G470" s="257"/>
      <c r="H470" s="112"/>
      <c r="I470" s="112"/>
      <c r="J470" s="112"/>
      <c r="K470" s="112"/>
      <c r="L470" s="112"/>
      <c r="M470" s="9"/>
      <c r="N470" s="9"/>
      <c r="O470" s="9"/>
      <c r="P470" s="9"/>
      <c r="Q470" s="9"/>
      <c r="R470" s="46"/>
      <c r="S470" s="46"/>
      <c r="T470" s="46"/>
      <c r="U470" s="46"/>
      <c r="V470" s="46"/>
      <c r="W470" s="46"/>
      <c r="X470" s="46"/>
      <c r="Y470" s="46"/>
    </row>
    <row r="471" spans="1:25">
      <c r="A471" s="9"/>
      <c r="B471" s="9"/>
      <c r="C471" s="9"/>
      <c r="D471" s="9"/>
      <c r="E471" s="37"/>
      <c r="F471" s="37"/>
      <c r="G471" s="257"/>
      <c r="H471" s="112"/>
      <c r="I471" s="112"/>
      <c r="J471" s="112"/>
      <c r="K471" s="112"/>
      <c r="L471" s="112"/>
      <c r="M471" s="9"/>
      <c r="N471" s="9"/>
      <c r="O471" s="9"/>
      <c r="P471" s="9"/>
      <c r="Q471" s="9"/>
      <c r="R471" s="46"/>
      <c r="S471" s="46"/>
      <c r="T471" s="46"/>
      <c r="U471" s="46"/>
      <c r="V471" s="46"/>
      <c r="W471" s="46"/>
      <c r="X471" s="46"/>
      <c r="Y471" s="46"/>
    </row>
    <row r="472" spans="1:25">
      <c r="A472" s="9"/>
      <c r="B472" s="9"/>
      <c r="C472" s="9"/>
      <c r="D472" s="9"/>
      <c r="E472" s="37"/>
      <c r="F472" s="37"/>
      <c r="G472" s="257"/>
      <c r="H472" s="112"/>
      <c r="I472" s="112"/>
      <c r="J472" s="112"/>
      <c r="K472" s="112"/>
      <c r="L472" s="112"/>
      <c r="M472" s="9"/>
      <c r="N472" s="9"/>
      <c r="O472" s="9"/>
      <c r="P472" s="9"/>
      <c r="Q472" s="9"/>
      <c r="R472" s="46"/>
      <c r="S472" s="46"/>
      <c r="T472" s="46"/>
      <c r="U472" s="46"/>
      <c r="V472" s="46"/>
      <c r="W472" s="46"/>
      <c r="X472" s="46"/>
      <c r="Y472" s="46"/>
    </row>
    <row r="473" spans="1:25">
      <c r="A473" s="9"/>
      <c r="B473" s="9"/>
      <c r="C473" s="9"/>
      <c r="D473" s="9"/>
      <c r="E473" s="37"/>
      <c r="F473" s="37"/>
      <c r="G473" s="257"/>
      <c r="H473" s="112"/>
      <c r="I473" s="112"/>
      <c r="J473" s="112"/>
      <c r="K473" s="112"/>
      <c r="L473" s="112"/>
      <c r="M473" s="9"/>
      <c r="N473" s="9"/>
      <c r="O473" s="9"/>
      <c r="P473" s="9"/>
      <c r="Q473" s="9"/>
      <c r="R473" s="46"/>
      <c r="S473" s="46"/>
      <c r="T473" s="46"/>
      <c r="U473" s="46"/>
      <c r="V473" s="46"/>
      <c r="W473" s="46"/>
      <c r="X473" s="46"/>
      <c r="Y473" s="46"/>
    </row>
    <row r="474" spans="1:25">
      <c r="A474" s="9"/>
      <c r="B474" s="9"/>
      <c r="C474" s="9"/>
      <c r="D474" s="9"/>
      <c r="E474" s="37"/>
      <c r="F474" s="37"/>
      <c r="G474" s="257"/>
      <c r="H474" s="112"/>
      <c r="I474" s="112"/>
      <c r="J474" s="112"/>
      <c r="K474" s="112"/>
      <c r="L474" s="112"/>
      <c r="M474" s="9"/>
      <c r="N474" s="9"/>
      <c r="O474" s="9"/>
      <c r="P474" s="9"/>
      <c r="Q474" s="9"/>
      <c r="R474" s="46"/>
      <c r="S474" s="46"/>
      <c r="T474" s="46"/>
      <c r="U474" s="46"/>
      <c r="V474" s="46"/>
      <c r="W474" s="46"/>
      <c r="X474" s="46"/>
      <c r="Y474" s="46"/>
    </row>
    <row r="475" spans="1:25">
      <c r="A475" s="9"/>
      <c r="B475" s="9"/>
      <c r="C475" s="9"/>
      <c r="D475" s="9"/>
      <c r="E475" s="37"/>
      <c r="F475" s="37"/>
      <c r="G475" s="257"/>
      <c r="H475" s="112"/>
      <c r="I475" s="112"/>
      <c r="J475" s="112"/>
      <c r="K475" s="112"/>
      <c r="L475" s="112"/>
      <c r="M475" s="9"/>
      <c r="N475" s="9"/>
      <c r="O475" s="9"/>
      <c r="P475" s="9"/>
      <c r="Q475" s="9"/>
      <c r="R475" s="46"/>
      <c r="S475" s="46"/>
      <c r="T475" s="46"/>
      <c r="U475" s="46"/>
      <c r="V475" s="46"/>
      <c r="W475" s="46"/>
      <c r="X475" s="46"/>
      <c r="Y475" s="46"/>
    </row>
    <row r="476" spans="1:25">
      <c r="A476" s="9"/>
      <c r="B476" s="9"/>
      <c r="C476" s="9"/>
      <c r="D476" s="9"/>
      <c r="E476" s="37"/>
      <c r="F476" s="37"/>
      <c r="G476" s="257"/>
      <c r="H476" s="112"/>
      <c r="I476" s="112"/>
      <c r="J476" s="112"/>
      <c r="K476" s="112"/>
      <c r="L476" s="112"/>
      <c r="M476" s="9"/>
      <c r="N476" s="9"/>
      <c r="O476" s="9"/>
      <c r="P476" s="9"/>
      <c r="Q476" s="9"/>
      <c r="R476" s="46"/>
      <c r="S476" s="46"/>
      <c r="T476" s="46"/>
      <c r="U476" s="46"/>
      <c r="V476" s="46"/>
      <c r="W476" s="46"/>
      <c r="X476" s="46"/>
      <c r="Y476" s="46"/>
    </row>
    <row r="477" spans="1:25">
      <c r="A477" s="9"/>
      <c r="B477" s="9"/>
      <c r="C477" s="9"/>
      <c r="D477" s="9"/>
      <c r="E477" s="37"/>
      <c r="F477" s="37"/>
      <c r="G477" s="257"/>
      <c r="H477" s="112"/>
      <c r="I477" s="112"/>
      <c r="J477" s="112"/>
      <c r="K477" s="112"/>
      <c r="L477" s="112"/>
      <c r="M477" s="9"/>
      <c r="N477" s="9"/>
      <c r="O477" s="9"/>
      <c r="P477" s="9"/>
      <c r="Q477" s="9"/>
      <c r="R477" s="46"/>
      <c r="S477" s="46"/>
      <c r="T477" s="46"/>
      <c r="U477" s="46"/>
      <c r="V477" s="46"/>
      <c r="W477" s="46"/>
      <c r="X477" s="46"/>
      <c r="Y477" s="46"/>
    </row>
    <row r="478" spans="1:25">
      <c r="A478" s="9"/>
      <c r="B478" s="9"/>
      <c r="C478" s="9"/>
      <c r="D478" s="9"/>
      <c r="E478" s="37"/>
      <c r="F478" s="37"/>
      <c r="G478" s="257"/>
      <c r="H478" s="112"/>
      <c r="I478" s="112"/>
      <c r="J478" s="112"/>
      <c r="K478" s="112"/>
      <c r="L478" s="112"/>
      <c r="M478" s="9"/>
      <c r="N478" s="9"/>
      <c r="O478" s="9"/>
      <c r="P478" s="9"/>
      <c r="Q478" s="9"/>
      <c r="R478" s="46"/>
      <c r="S478" s="46"/>
      <c r="T478" s="46"/>
      <c r="U478" s="46"/>
      <c r="V478" s="46"/>
      <c r="W478" s="46"/>
      <c r="X478" s="46"/>
      <c r="Y478" s="46"/>
    </row>
    <row r="479" spans="1:25">
      <c r="A479" s="9"/>
      <c r="B479" s="9"/>
      <c r="C479" s="9"/>
      <c r="D479" s="9"/>
      <c r="E479" s="37"/>
      <c r="F479" s="37"/>
      <c r="G479" s="257"/>
      <c r="H479" s="112"/>
      <c r="I479" s="112"/>
      <c r="J479" s="112"/>
      <c r="K479" s="112"/>
      <c r="L479" s="112"/>
      <c r="M479" s="9"/>
      <c r="N479" s="9"/>
      <c r="O479" s="9"/>
      <c r="P479" s="9"/>
      <c r="Q479" s="9"/>
      <c r="R479" s="46"/>
      <c r="S479" s="46"/>
      <c r="T479" s="46"/>
      <c r="U479" s="46"/>
      <c r="V479" s="46"/>
      <c r="W479" s="46"/>
      <c r="X479" s="46"/>
      <c r="Y479" s="46"/>
    </row>
    <row r="480" spans="1:25">
      <c r="A480" s="9"/>
      <c r="B480" s="9"/>
      <c r="C480" s="9"/>
      <c r="D480" s="9"/>
      <c r="E480" s="37"/>
      <c r="F480" s="37"/>
      <c r="G480" s="257"/>
      <c r="H480" s="112"/>
      <c r="I480" s="112"/>
      <c r="J480" s="112"/>
      <c r="K480" s="112"/>
      <c r="L480" s="112"/>
      <c r="M480" s="9"/>
      <c r="N480" s="9"/>
      <c r="O480" s="9"/>
      <c r="P480" s="9"/>
      <c r="Q480" s="9"/>
      <c r="R480" s="46"/>
      <c r="S480" s="46"/>
      <c r="T480" s="46"/>
      <c r="U480" s="46"/>
      <c r="V480" s="46"/>
      <c r="W480" s="46"/>
      <c r="X480" s="46"/>
      <c r="Y480" s="46"/>
    </row>
    <row r="481" spans="1:25">
      <c r="A481" s="9"/>
      <c r="B481" s="9"/>
      <c r="C481" s="9"/>
      <c r="D481" s="9"/>
      <c r="E481" s="37"/>
      <c r="F481" s="37"/>
      <c r="G481" s="257"/>
      <c r="H481" s="112"/>
      <c r="I481" s="112"/>
      <c r="J481" s="112"/>
      <c r="K481" s="112"/>
      <c r="L481" s="112"/>
      <c r="M481" s="9"/>
      <c r="N481" s="9"/>
      <c r="O481" s="9"/>
      <c r="P481" s="9"/>
      <c r="Q481" s="9"/>
      <c r="R481" s="46"/>
      <c r="S481" s="46"/>
      <c r="T481" s="46"/>
      <c r="U481" s="46"/>
      <c r="V481" s="46"/>
      <c r="W481" s="46"/>
      <c r="X481" s="46"/>
      <c r="Y481" s="46"/>
    </row>
    <row r="482" spans="1:25">
      <c r="A482" s="9"/>
      <c r="B482" s="9"/>
      <c r="C482" s="9"/>
      <c r="D482" s="9"/>
      <c r="E482" s="37"/>
      <c r="F482" s="37"/>
      <c r="G482" s="257"/>
      <c r="H482" s="112"/>
      <c r="I482" s="112"/>
      <c r="J482" s="112"/>
      <c r="K482" s="112"/>
      <c r="L482" s="112"/>
      <c r="M482" s="9"/>
      <c r="N482" s="9"/>
      <c r="O482" s="9"/>
      <c r="P482" s="9"/>
      <c r="Q482" s="9"/>
      <c r="R482" s="46"/>
      <c r="S482" s="46"/>
      <c r="T482" s="46"/>
      <c r="U482" s="46"/>
      <c r="V482" s="46"/>
      <c r="W482" s="46"/>
      <c r="X482" s="46"/>
      <c r="Y482" s="46"/>
    </row>
    <row r="483" spans="1:25">
      <c r="A483" s="9"/>
      <c r="B483" s="9"/>
      <c r="C483" s="9"/>
      <c r="D483" s="9"/>
      <c r="E483" s="37"/>
      <c r="F483" s="37"/>
      <c r="G483" s="257"/>
      <c r="H483" s="112"/>
      <c r="I483" s="112"/>
      <c r="J483" s="112"/>
      <c r="K483" s="112"/>
      <c r="L483" s="112"/>
      <c r="M483" s="9"/>
      <c r="N483" s="9"/>
      <c r="O483" s="9"/>
      <c r="P483" s="9"/>
      <c r="Q483" s="9"/>
      <c r="R483" s="46"/>
      <c r="S483" s="46"/>
      <c r="T483" s="46"/>
      <c r="U483" s="46"/>
      <c r="V483" s="46"/>
      <c r="W483" s="46"/>
      <c r="X483" s="46"/>
      <c r="Y483" s="46"/>
    </row>
    <row r="484" spans="1:25">
      <c r="A484" s="9"/>
      <c r="B484" s="9"/>
      <c r="C484" s="9"/>
      <c r="D484" s="9"/>
      <c r="E484" s="37"/>
      <c r="F484" s="37"/>
      <c r="G484" s="257"/>
      <c r="H484" s="112"/>
      <c r="I484" s="112"/>
      <c r="J484" s="112"/>
      <c r="K484" s="112"/>
      <c r="L484" s="112"/>
      <c r="M484" s="9"/>
      <c r="N484" s="9"/>
      <c r="O484" s="9"/>
      <c r="P484" s="9"/>
      <c r="Q484" s="9"/>
      <c r="R484" s="46"/>
      <c r="S484" s="46"/>
      <c r="T484" s="46"/>
      <c r="U484" s="46"/>
      <c r="V484" s="46"/>
      <c r="W484" s="46"/>
      <c r="X484" s="46"/>
      <c r="Y484" s="46"/>
    </row>
    <row r="485" spans="1:25">
      <c r="A485" s="9"/>
      <c r="B485" s="9"/>
      <c r="C485" s="9"/>
      <c r="D485" s="9"/>
      <c r="E485" s="37"/>
      <c r="F485" s="37"/>
      <c r="G485" s="257"/>
      <c r="H485" s="112"/>
      <c r="I485" s="112"/>
      <c r="J485" s="112"/>
      <c r="K485" s="112"/>
      <c r="L485" s="112"/>
      <c r="M485" s="9"/>
      <c r="N485" s="9"/>
      <c r="O485" s="9"/>
      <c r="P485" s="9"/>
      <c r="Q485" s="9"/>
      <c r="R485" s="46"/>
      <c r="S485" s="46"/>
      <c r="T485" s="46"/>
      <c r="U485" s="46"/>
      <c r="V485" s="46"/>
      <c r="W485" s="46"/>
      <c r="X485" s="46"/>
      <c r="Y485" s="46"/>
    </row>
    <row r="486" spans="1:25">
      <c r="A486" s="9"/>
      <c r="B486" s="9"/>
      <c r="C486" s="9"/>
      <c r="D486" s="9"/>
      <c r="E486" s="37"/>
      <c r="F486" s="37"/>
      <c r="G486" s="257"/>
      <c r="H486" s="112"/>
      <c r="I486" s="112"/>
      <c r="J486" s="112"/>
      <c r="K486" s="112"/>
      <c r="L486" s="112"/>
      <c r="M486" s="9"/>
      <c r="N486" s="9"/>
      <c r="O486" s="9"/>
      <c r="P486" s="9"/>
      <c r="Q486" s="9"/>
      <c r="R486" s="46"/>
      <c r="S486" s="46"/>
      <c r="T486" s="46"/>
      <c r="U486" s="46"/>
      <c r="V486" s="46"/>
      <c r="W486" s="46"/>
      <c r="X486" s="46"/>
      <c r="Y486" s="46"/>
    </row>
    <row r="487" spans="1:25">
      <c r="A487" s="9"/>
      <c r="B487" s="9"/>
      <c r="C487" s="9"/>
      <c r="D487" s="9"/>
      <c r="E487" s="37"/>
      <c r="F487" s="37"/>
      <c r="G487" s="257"/>
      <c r="H487" s="112"/>
      <c r="I487" s="112"/>
      <c r="J487" s="112"/>
      <c r="K487" s="112"/>
      <c r="L487" s="112"/>
      <c r="M487" s="9"/>
      <c r="N487" s="9"/>
      <c r="O487" s="9"/>
      <c r="P487" s="9"/>
      <c r="Q487" s="9"/>
      <c r="R487" s="46"/>
      <c r="S487" s="46"/>
      <c r="T487" s="46"/>
      <c r="U487" s="46"/>
      <c r="V487" s="46"/>
      <c r="W487" s="46"/>
      <c r="X487" s="46"/>
      <c r="Y487" s="46"/>
    </row>
    <row r="488" spans="1:25">
      <c r="A488" s="9"/>
      <c r="B488" s="9"/>
      <c r="C488" s="9"/>
      <c r="D488" s="9"/>
      <c r="E488" s="37"/>
      <c r="F488" s="37"/>
      <c r="G488" s="257"/>
      <c r="H488" s="112"/>
      <c r="I488" s="112"/>
      <c r="J488" s="112"/>
      <c r="K488" s="112"/>
      <c r="L488" s="112"/>
      <c r="M488" s="9"/>
      <c r="N488" s="9"/>
      <c r="O488" s="9"/>
      <c r="P488" s="9"/>
      <c r="Q488" s="9"/>
      <c r="R488" s="46"/>
      <c r="S488" s="46"/>
      <c r="T488" s="46"/>
      <c r="U488" s="46"/>
      <c r="V488" s="46"/>
      <c r="W488" s="46"/>
      <c r="X488" s="46"/>
      <c r="Y488" s="46"/>
    </row>
    <row r="489" spans="1:25">
      <c r="A489" s="9"/>
      <c r="B489" s="9"/>
      <c r="C489" s="9"/>
      <c r="D489" s="9"/>
      <c r="E489" s="37"/>
      <c r="F489" s="37"/>
      <c r="G489" s="257"/>
      <c r="H489" s="112"/>
      <c r="I489" s="112"/>
      <c r="J489" s="112"/>
      <c r="K489" s="112"/>
      <c r="L489" s="112"/>
      <c r="M489" s="9"/>
      <c r="N489" s="9"/>
      <c r="O489" s="9"/>
      <c r="P489" s="9"/>
      <c r="Q489" s="9"/>
      <c r="R489" s="46"/>
      <c r="S489" s="46"/>
      <c r="T489" s="46"/>
      <c r="U489" s="46"/>
      <c r="V489" s="46"/>
      <c r="W489" s="46"/>
      <c r="X489" s="46"/>
      <c r="Y489" s="46"/>
    </row>
    <row r="490" spans="1:25">
      <c r="A490" s="9"/>
      <c r="B490" s="9"/>
      <c r="C490" s="9"/>
      <c r="D490" s="9"/>
      <c r="E490" s="37"/>
      <c r="F490" s="37"/>
      <c r="G490" s="257"/>
      <c r="H490" s="112"/>
      <c r="I490" s="112"/>
      <c r="J490" s="112"/>
      <c r="K490" s="112"/>
      <c r="L490" s="112"/>
      <c r="M490" s="9"/>
      <c r="N490" s="9"/>
      <c r="O490" s="9"/>
      <c r="P490" s="9"/>
      <c r="Q490" s="9"/>
      <c r="R490" s="46"/>
      <c r="S490" s="46"/>
      <c r="T490" s="46"/>
      <c r="U490" s="46"/>
      <c r="V490" s="46"/>
      <c r="W490" s="46"/>
      <c r="X490" s="46"/>
      <c r="Y490" s="46"/>
    </row>
    <row r="491" spans="1:25">
      <c r="A491" s="9"/>
      <c r="B491" s="9"/>
      <c r="C491" s="9"/>
      <c r="D491" s="9"/>
      <c r="E491" s="37"/>
      <c r="F491" s="37"/>
      <c r="G491" s="257"/>
      <c r="H491" s="112"/>
      <c r="I491" s="112"/>
      <c r="J491" s="112"/>
      <c r="K491" s="112"/>
      <c r="L491" s="112"/>
      <c r="M491" s="9"/>
      <c r="N491" s="9"/>
      <c r="O491" s="9"/>
      <c r="P491" s="9"/>
      <c r="Q491" s="9"/>
      <c r="R491" s="46"/>
      <c r="S491" s="46"/>
      <c r="T491" s="46"/>
      <c r="U491" s="46"/>
      <c r="V491" s="46"/>
      <c r="W491" s="46"/>
      <c r="X491" s="46"/>
      <c r="Y491" s="46"/>
    </row>
    <row r="492" spans="1:25">
      <c r="A492" s="9"/>
      <c r="B492" s="9"/>
      <c r="C492" s="9"/>
      <c r="D492" s="9"/>
      <c r="E492" s="37"/>
      <c r="F492" s="37"/>
      <c r="G492" s="257"/>
      <c r="H492" s="112"/>
      <c r="I492" s="112"/>
      <c r="J492" s="112"/>
      <c r="K492" s="112"/>
      <c r="L492" s="112"/>
      <c r="M492" s="9"/>
      <c r="N492" s="9"/>
      <c r="O492" s="9"/>
      <c r="P492" s="9"/>
      <c r="Q492" s="9"/>
      <c r="R492" s="46"/>
      <c r="S492" s="46"/>
      <c r="T492" s="46"/>
      <c r="U492" s="46"/>
      <c r="V492" s="46"/>
      <c r="W492" s="46"/>
      <c r="X492" s="46"/>
      <c r="Y492" s="46"/>
    </row>
    <row r="493" spans="1:25">
      <c r="A493" s="9"/>
      <c r="B493" s="9"/>
      <c r="C493" s="9"/>
      <c r="D493" s="9"/>
      <c r="E493" s="37"/>
      <c r="F493" s="37"/>
      <c r="G493" s="257"/>
      <c r="H493" s="112"/>
      <c r="I493" s="112"/>
      <c r="J493" s="112"/>
      <c r="K493" s="112"/>
      <c r="L493" s="112"/>
      <c r="M493" s="9"/>
      <c r="N493" s="9"/>
      <c r="O493" s="9"/>
      <c r="P493" s="9"/>
      <c r="Q493" s="9"/>
      <c r="R493" s="46"/>
      <c r="S493" s="46"/>
      <c r="T493" s="46"/>
      <c r="U493" s="46"/>
      <c r="V493" s="46"/>
      <c r="W493" s="46"/>
      <c r="X493" s="46"/>
      <c r="Y493" s="46"/>
    </row>
    <row r="494" spans="1:25">
      <c r="A494" s="9"/>
      <c r="B494" s="9"/>
      <c r="C494" s="9"/>
      <c r="D494" s="9"/>
      <c r="E494" s="37"/>
      <c r="F494" s="37"/>
      <c r="G494" s="257"/>
      <c r="H494" s="112"/>
      <c r="I494" s="112"/>
      <c r="J494" s="112"/>
      <c r="K494" s="112"/>
      <c r="L494" s="112"/>
      <c r="M494" s="9"/>
      <c r="N494" s="9"/>
      <c r="O494" s="9"/>
      <c r="P494" s="9"/>
      <c r="Q494" s="9"/>
      <c r="R494" s="46"/>
      <c r="S494" s="46"/>
      <c r="T494" s="46"/>
      <c r="U494" s="46"/>
      <c r="V494" s="46"/>
      <c r="W494" s="46"/>
      <c r="X494" s="46"/>
      <c r="Y494" s="46"/>
    </row>
    <row r="495" spans="1:25">
      <c r="A495" s="9"/>
      <c r="B495" s="9"/>
      <c r="C495" s="9"/>
      <c r="D495" s="9"/>
      <c r="E495" s="37"/>
      <c r="F495" s="37"/>
      <c r="G495" s="257"/>
      <c r="H495" s="112"/>
      <c r="I495" s="112"/>
      <c r="J495" s="112"/>
      <c r="K495" s="112"/>
      <c r="L495" s="112"/>
      <c r="M495" s="9"/>
      <c r="N495" s="9"/>
      <c r="O495" s="9"/>
      <c r="P495" s="9"/>
      <c r="Q495" s="9"/>
      <c r="R495" s="46"/>
      <c r="S495" s="46"/>
      <c r="T495" s="46"/>
      <c r="U495" s="46"/>
      <c r="V495" s="46"/>
      <c r="W495" s="46"/>
      <c r="X495" s="46"/>
      <c r="Y495" s="46"/>
    </row>
    <row r="496" spans="1:25">
      <c r="A496" s="9"/>
      <c r="B496" s="9"/>
      <c r="C496" s="9"/>
      <c r="D496" s="9"/>
      <c r="E496" s="37"/>
      <c r="F496" s="37"/>
      <c r="G496" s="257"/>
      <c r="H496" s="112"/>
      <c r="I496" s="112"/>
      <c r="J496" s="112"/>
      <c r="K496" s="112"/>
      <c r="L496" s="112"/>
      <c r="M496" s="9"/>
      <c r="N496" s="9"/>
      <c r="O496" s="9"/>
      <c r="P496" s="9"/>
      <c r="Q496" s="9"/>
      <c r="R496" s="46"/>
      <c r="S496" s="46"/>
      <c r="T496" s="46"/>
      <c r="U496" s="46"/>
      <c r="V496" s="46"/>
      <c r="W496" s="46"/>
      <c r="X496" s="46"/>
      <c r="Y496" s="46"/>
    </row>
    <row r="497" spans="1:25">
      <c r="A497" s="9"/>
      <c r="B497" s="9"/>
      <c r="C497" s="9"/>
      <c r="D497" s="9"/>
      <c r="E497" s="37"/>
      <c r="F497" s="37"/>
      <c r="G497" s="257"/>
      <c r="H497" s="112"/>
      <c r="I497" s="112"/>
      <c r="J497" s="112"/>
      <c r="K497" s="112"/>
      <c r="L497" s="112"/>
      <c r="M497" s="9"/>
      <c r="N497" s="9"/>
      <c r="O497" s="9"/>
      <c r="P497" s="9"/>
      <c r="Q497" s="9"/>
      <c r="R497" s="46"/>
      <c r="S497" s="46"/>
      <c r="T497" s="46"/>
      <c r="U497" s="46"/>
      <c r="V497" s="46"/>
      <c r="W497" s="46"/>
      <c r="X497" s="46"/>
      <c r="Y497" s="46"/>
    </row>
    <row r="498" spans="1:25">
      <c r="A498" s="9"/>
      <c r="B498" s="9"/>
      <c r="C498" s="9"/>
      <c r="D498" s="9"/>
      <c r="E498" s="37"/>
      <c r="F498" s="37"/>
      <c r="G498" s="257"/>
      <c r="H498" s="112"/>
      <c r="I498" s="112"/>
      <c r="J498" s="112"/>
      <c r="K498" s="112"/>
      <c r="L498" s="112"/>
      <c r="M498" s="9"/>
      <c r="N498" s="9"/>
      <c r="O498" s="9"/>
      <c r="P498" s="9"/>
      <c r="Q498" s="9"/>
      <c r="R498" s="46"/>
      <c r="S498" s="46"/>
      <c r="T498" s="46"/>
      <c r="U498" s="46"/>
      <c r="V498" s="46"/>
      <c r="W498" s="46"/>
      <c r="X498" s="46"/>
      <c r="Y498" s="46"/>
    </row>
    <row r="499" spans="1:25">
      <c r="A499" s="9"/>
      <c r="B499" s="9"/>
      <c r="C499" s="9"/>
      <c r="D499" s="9"/>
      <c r="E499" s="37"/>
      <c r="F499" s="37"/>
      <c r="G499" s="257"/>
      <c r="H499" s="112"/>
      <c r="I499" s="112"/>
      <c r="J499" s="112"/>
      <c r="K499" s="112"/>
      <c r="L499" s="112"/>
      <c r="M499" s="9"/>
      <c r="N499" s="9"/>
      <c r="O499" s="9"/>
      <c r="P499" s="9"/>
      <c r="Q499" s="9"/>
      <c r="R499" s="46"/>
      <c r="S499" s="46"/>
      <c r="T499" s="46"/>
      <c r="U499" s="46"/>
      <c r="V499" s="46"/>
      <c r="W499" s="46"/>
      <c r="X499" s="46"/>
      <c r="Y499" s="46"/>
    </row>
    <row r="500" spans="1:25">
      <c r="A500" s="9"/>
      <c r="B500" s="9"/>
      <c r="C500" s="9"/>
      <c r="D500" s="9"/>
      <c r="E500" s="37"/>
      <c r="F500" s="37"/>
      <c r="G500" s="257"/>
      <c r="H500" s="112"/>
      <c r="I500" s="112"/>
      <c r="J500" s="112"/>
      <c r="K500" s="112"/>
      <c r="L500" s="112"/>
      <c r="M500" s="9"/>
      <c r="N500" s="9"/>
      <c r="O500" s="9"/>
      <c r="P500" s="9"/>
      <c r="Q500" s="9"/>
      <c r="R500" s="46"/>
      <c r="S500" s="46"/>
      <c r="T500" s="46"/>
      <c r="U500" s="46"/>
      <c r="V500" s="46"/>
      <c r="W500" s="46"/>
      <c r="X500" s="46"/>
      <c r="Y500" s="46"/>
    </row>
    <row r="501" spans="1:25">
      <c r="A501" s="9"/>
      <c r="B501" s="9"/>
      <c r="C501" s="9"/>
      <c r="D501" s="9"/>
      <c r="E501" s="37"/>
      <c r="F501" s="37"/>
      <c r="G501" s="257"/>
      <c r="H501" s="112"/>
      <c r="I501" s="112"/>
      <c r="J501" s="112"/>
      <c r="K501" s="112"/>
      <c r="L501" s="112"/>
      <c r="M501" s="9"/>
      <c r="N501" s="9"/>
      <c r="O501" s="9"/>
      <c r="P501" s="9"/>
      <c r="Q501" s="9"/>
      <c r="R501" s="46"/>
      <c r="S501" s="46"/>
      <c r="T501" s="46"/>
      <c r="U501" s="46"/>
      <c r="V501" s="46"/>
      <c r="W501" s="46"/>
      <c r="X501" s="46"/>
      <c r="Y501" s="46"/>
    </row>
    <row r="502" spans="1:25">
      <c r="A502" s="9"/>
      <c r="B502" s="9"/>
      <c r="C502" s="9"/>
      <c r="D502" s="9"/>
      <c r="E502" s="37"/>
      <c r="F502" s="37"/>
      <c r="G502" s="257"/>
      <c r="H502" s="112"/>
      <c r="I502" s="112"/>
      <c r="J502" s="112"/>
      <c r="K502" s="112"/>
      <c r="L502" s="112"/>
      <c r="M502" s="9"/>
      <c r="N502" s="9"/>
      <c r="O502" s="9"/>
      <c r="P502" s="9"/>
      <c r="Q502" s="9"/>
      <c r="R502" s="46"/>
      <c r="S502" s="46"/>
      <c r="T502" s="46"/>
      <c r="U502" s="46"/>
      <c r="V502" s="46"/>
      <c r="W502" s="46"/>
      <c r="X502" s="46"/>
      <c r="Y502" s="46"/>
    </row>
    <row r="503" spans="1:25">
      <c r="A503" s="9"/>
      <c r="B503" s="9"/>
      <c r="C503" s="9"/>
      <c r="D503" s="9"/>
      <c r="E503" s="37"/>
      <c r="F503" s="37"/>
      <c r="G503" s="257"/>
      <c r="H503" s="112"/>
      <c r="I503" s="112"/>
      <c r="J503" s="112"/>
      <c r="K503" s="112"/>
      <c r="L503" s="112"/>
      <c r="M503" s="9"/>
      <c r="N503" s="9"/>
      <c r="O503" s="9"/>
      <c r="P503" s="9"/>
      <c r="Q503" s="9"/>
      <c r="R503" s="46"/>
      <c r="S503" s="46"/>
      <c r="T503" s="46"/>
      <c r="U503" s="46"/>
      <c r="V503" s="46"/>
      <c r="W503" s="46"/>
      <c r="X503" s="46"/>
      <c r="Y503" s="46"/>
    </row>
    <row r="504" spans="1:25">
      <c r="A504" s="9"/>
      <c r="B504" s="9"/>
      <c r="C504" s="9"/>
      <c r="D504" s="9"/>
      <c r="E504" s="37"/>
      <c r="F504" s="37"/>
      <c r="G504" s="257"/>
      <c r="H504" s="112"/>
      <c r="I504" s="112"/>
      <c r="J504" s="112"/>
      <c r="K504" s="112"/>
      <c r="L504" s="112"/>
      <c r="M504" s="9"/>
      <c r="N504" s="9"/>
      <c r="O504" s="9"/>
      <c r="P504" s="9"/>
      <c r="Q504" s="9"/>
      <c r="R504" s="46"/>
      <c r="S504" s="46"/>
      <c r="T504" s="46"/>
      <c r="U504" s="46"/>
      <c r="V504" s="46"/>
      <c r="W504" s="46"/>
      <c r="X504" s="46"/>
      <c r="Y504" s="46"/>
    </row>
    <row r="505" spans="1:25">
      <c r="A505" s="9"/>
      <c r="B505" s="9"/>
      <c r="C505" s="9"/>
      <c r="D505" s="9"/>
      <c r="E505" s="37"/>
      <c r="F505" s="37"/>
      <c r="G505" s="257"/>
      <c r="H505" s="112"/>
      <c r="I505" s="112"/>
      <c r="J505" s="112"/>
      <c r="K505" s="112"/>
      <c r="L505" s="112"/>
      <c r="M505" s="9"/>
      <c r="N505" s="9"/>
      <c r="O505" s="9"/>
      <c r="P505" s="9"/>
      <c r="Q505" s="9"/>
      <c r="R505" s="46"/>
      <c r="S505" s="46"/>
      <c r="T505" s="46"/>
      <c r="U505" s="46"/>
      <c r="V505" s="46"/>
      <c r="W505" s="46"/>
      <c r="X505" s="46"/>
      <c r="Y505" s="46"/>
    </row>
    <row r="506" spans="1:25">
      <c r="A506" s="9"/>
      <c r="B506" s="9"/>
      <c r="C506" s="9"/>
      <c r="D506" s="9"/>
      <c r="E506" s="37"/>
      <c r="F506" s="37"/>
      <c r="G506" s="257"/>
      <c r="H506" s="112"/>
      <c r="I506" s="112"/>
      <c r="J506" s="112"/>
      <c r="K506" s="112"/>
      <c r="L506" s="112"/>
      <c r="M506" s="9"/>
      <c r="N506" s="9"/>
      <c r="O506" s="9"/>
      <c r="P506" s="9"/>
      <c r="Q506" s="9"/>
      <c r="R506" s="46"/>
      <c r="S506" s="46"/>
      <c r="T506" s="46"/>
      <c r="U506" s="46"/>
      <c r="V506" s="46"/>
      <c r="W506" s="46"/>
      <c r="X506" s="46"/>
      <c r="Y506" s="46"/>
    </row>
    <row r="507" spans="1:25">
      <c r="A507" s="9"/>
      <c r="B507" s="9"/>
      <c r="C507" s="9"/>
      <c r="D507" s="9"/>
      <c r="E507" s="37"/>
      <c r="F507" s="37"/>
      <c r="G507" s="257"/>
      <c r="H507" s="112"/>
      <c r="I507" s="112"/>
      <c r="J507" s="112"/>
      <c r="K507" s="112"/>
      <c r="L507" s="112"/>
      <c r="M507" s="9"/>
      <c r="N507" s="9"/>
      <c r="O507" s="9"/>
      <c r="P507" s="9"/>
      <c r="Q507" s="9"/>
      <c r="R507" s="46"/>
      <c r="S507" s="46"/>
      <c r="T507" s="46"/>
      <c r="U507" s="46"/>
      <c r="V507" s="46"/>
      <c r="W507" s="46"/>
      <c r="X507" s="46"/>
      <c r="Y507" s="46"/>
    </row>
    <row r="508" spans="1:25">
      <c r="A508" s="9"/>
      <c r="B508" s="9"/>
      <c r="C508" s="9"/>
      <c r="D508" s="9"/>
      <c r="E508" s="37"/>
      <c r="F508" s="37"/>
      <c r="G508" s="257"/>
      <c r="H508" s="112"/>
      <c r="I508" s="112"/>
      <c r="J508" s="112"/>
      <c r="K508" s="112"/>
      <c r="L508" s="112"/>
      <c r="M508" s="9"/>
      <c r="N508" s="9"/>
      <c r="O508" s="9"/>
      <c r="P508" s="9"/>
      <c r="Q508" s="9"/>
      <c r="R508" s="46"/>
      <c r="S508" s="46"/>
      <c r="T508" s="46"/>
      <c r="U508" s="46"/>
      <c r="V508" s="46"/>
      <c r="W508" s="46"/>
      <c r="X508" s="46"/>
      <c r="Y508" s="46"/>
    </row>
    <row r="509" spans="1:25">
      <c r="A509" s="9"/>
      <c r="B509" s="9"/>
      <c r="C509" s="9"/>
      <c r="D509" s="9"/>
      <c r="E509" s="37"/>
      <c r="F509" s="37"/>
      <c r="G509" s="257"/>
      <c r="H509" s="112"/>
      <c r="I509" s="112"/>
      <c r="J509" s="112"/>
      <c r="K509" s="112"/>
      <c r="L509" s="112"/>
      <c r="M509" s="9"/>
      <c r="N509" s="9"/>
      <c r="O509" s="9"/>
      <c r="P509" s="9"/>
      <c r="Q509" s="9"/>
      <c r="R509" s="46"/>
      <c r="S509" s="46"/>
      <c r="T509" s="46"/>
      <c r="U509" s="46"/>
      <c r="V509" s="46"/>
      <c r="W509" s="46"/>
      <c r="X509" s="46"/>
      <c r="Y509" s="46"/>
    </row>
    <row r="510" spans="1:25">
      <c r="A510" s="9"/>
      <c r="B510" s="9"/>
      <c r="C510" s="9"/>
      <c r="D510" s="9"/>
      <c r="E510" s="37"/>
      <c r="F510" s="37"/>
      <c r="G510" s="257"/>
      <c r="H510" s="112"/>
      <c r="I510" s="112"/>
      <c r="J510" s="112"/>
      <c r="K510" s="112"/>
      <c r="L510" s="112"/>
      <c r="M510" s="9"/>
      <c r="N510" s="9"/>
      <c r="O510" s="9"/>
      <c r="P510" s="9"/>
      <c r="Q510" s="9"/>
      <c r="R510" s="46"/>
      <c r="S510" s="46"/>
      <c r="T510" s="46"/>
      <c r="U510" s="46"/>
      <c r="V510" s="46"/>
      <c r="W510" s="46"/>
      <c r="X510" s="46"/>
      <c r="Y510" s="46"/>
    </row>
    <row r="511" spans="1:25">
      <c r="A511" s="9"/>
      <c r="B511" s="9"/>
      <c r="C511" s="9"/>
      <c r="D511" s="9"/>
      <c r="E511" s="37"/>
      <c r="F511" s="37"/>
      <c r="G511" s="257"/>
      <c r="H511" s="112"/>
      <c r="I511" s="112"/>
      <c r="J511" s="112"/>
      <c r="K511" s="112"/>
      <c r="L511" s="112"/>
      <c r="M511" s="9"/>
      <c r="N511" s="9"/>
      <c r="O511" s="9"/>
      <c r="P511" s="9"/>
      <c r="Q511" s="9"/>
      <c r="R511" s="46"/>
      <c r="S511" s="46"/>
      <c r="T511" s="46"/>
      <c r="U511" s="46"/>
      <c r="V511" s="46"/>
      <c r="W511" s="46"/>
      <c r="X511" s="46"/>
      <c r="Y511" s="46"/>
    </row>
    <row r="512" spans="1:25">
      <c r="A512" s="9"/>
      <c r="B512" s="9"/>
      <c r="C512" s="9"/>
      <c r="D512" s="9"/>
      <c r="E512" s="37"/>
      <c r="F512" s="37"/>
      <c r="G512" s="257"/>
      <c r="H512" s="112"/>
      <c r="I512" s="112"/>
      <c r="J512" s="112"/>
      <c r="K512" s="112"/>
      <c r="L512" s="112"/>
      <c r="M512" s="9"/>
      <c r="N512" s="9"/>
      <c r="O512" s="9"/>
      <c r="P512" s="9"/>
      <c r="Q512" s="9"/>
      <c r="R512" s="46"/>
      <c r="S512" s="46"/>
      <c r="T512" s="46"/>
      <c r="U512" s="46"/>
      <c r="V512" s="46"/>
      <c r="W512" s="46"/>
      <c r="X512" s="46"/>
      <c r="Y512" s="46"/>
    </row>
    <row r="513" spans="1:25">
      <c r="A513" s="9"/>
      <c r="B513" s="9"/>
      <c r="C513" s="9"/>
      <c r="D513" s="9"/>
      <c r="E513" s="37"/>
      <c r="F513" s="37"/>
      <c r="G513" s="257"/>
      <c r="H513" s="112"/>
      <c r="I513" s="112"/>
      <c r="J513" s="112"/>
      <c r="K513" s="112"/>
      <c r="L513" s="112"/>
      <c r="M513" s="9"/>
      <c r="N513" s="9"/>
      <c r="O513" s="9"/>
      <c r="P513" s="9"/>
      <c r="Q513" s="9"/>
      <c r="R513" s="46"/>
      <c r="S513" s="46"/>
      <c r="T513" s="46"/>
      <c r="U513" s="46"/>
      <c r="V513" s="46"/>
      <c r="W513" s="46"/>
      <c r="X513" s="46"/>
      <c r="Y513" s="46"/>
    </row>
    <row r="514" spans="1:25">
      <c r="A514" s="9"/>
      <c r="B514" s="9"/>
      <c r="C514" s="9"/>
      <c r="D514" s="9"/>
      <c r="E514" s="37"/>
      <c r="F514" s="37"/>
      <c r="G514" s="257"/>
      <c r="H514" s="112"/>
      <c r="I514" s="112"/>
      <c r="J514" s="112"/>
      <c r="K514" s="112"/>
      <c r="L514" s="112"/>
      <c r="M514" s="9"/>
      <c r="N514" s="9"/>
      <c r="O514" s="9"/>
      <c r="P514" s="9"/>
      <c r="Q514" s="9"/>
      <c r="R514" s="46"/>
      <c r="S514" s="46"/>
      <c r="T514" s="46"/>
      <c r="U514" s="46"/>
      <c r="V514" s="46"/>
      <c r="W514" s="46"/>
      <c r="X514" s="46"/>
      <c r="Y514" s="46"/>
    </row>
    <row r="515" spans="1:25">
      <c r="A515" s="9"/>
      <c r="B515" s="9"/>
      <c r="C515" s="9"/>
      <c r="D515" s="9"/>
      <c r="E515" s="37"/>
      <c r="F515" s="37"/>
      <c r="G515" s="257"/>
      <c r="H515" s="112"/>
      <c r="I515" s="112"/>
      <c r="J515" s="112"/>
      <c r="K515" s="112"/>
      <c r="L515" s="112"/>
      <c r="M515" s="9"/>
      <c r="N515" s="9"/>
      <c r="O515" s="9"/>
      <c r="P515" s="9"/>
      <c r="Q515" s="9"/>
      <c r="R515" s="46"/>
      <c r="S515" s="46"/>
      <c r="T515" s="46"/>
      <c r="U515" s="46"/>
      <c r="V515" s="46"/>
      <c r="W515" s="46"/>
      <c r="X515" s="46"/>
      <c r="Y515" s="46"/>
    </row>
    <row r="516" spans="1:25">
      <c r="A516" s="9"/>
      <c r="B516" s="9"/>
      <c r="C516" s="9"/>
      <c r="D516" s="9"/>
      <c r="E516" s="37"/>
      <c r="F516" s="37"/>
      <c r="G516" s="257"/>
      <c r="H516" s="112"/>
      <c r="I516" s="112"/>
      <c r="J516" s="112"/>
      <c r="K516" s="112"/>
      <c r="L516" s="112"/>
      <c r="M516" s="9"/>
      <c r="N516" s="9"/>
      <c r="O516" s="9"/>
      <c r="P516" s="9"/>
      <c r="Q516" s="9"/>
      <c r="R516" s="46"/>
      <c r="S516" s="46"/>
      <c r="T516" s="46"/>
      <c r="U516" s="46"/>
      <c r="V516" s="46"/>
      <c r="W516" s="46"/>
      <c r="X516" s="46"/>
      <c r="Y516" s="46"/>
    </row>
    <row r="517" spans="1:25">
      <c r="A517" s="9"/>
      <c r="B517" s="9"/>
      <c r="C517" s="9"/>
      <c r="D517" s="9"/>
      <c r="E517" s="37"/>
      <c r="F517" s="37"/>
      <c r="G517" s="257"/>
      <c r="H517" s="112"/>
      <c r="I517" s="112"/>
      <c r="J517" s="112"/>
      <c r="K517" s="112"/>
      <c r="L517" s="112"/>
      <c r="M517" s="9"/>
      <c r="N517" s="9"/>
      <c r="O517" s="9"/>
      <c r="P517" s="9"/>
      <c r="Q517" s="9"/>
      <c r="R517" s="46"/>
      <c r="S517" s="46"/>
      <c r="T517" s="46"/>
      <c r="U517" s="46"/>
      <c r="V517" s="46"/>
      <c r="W517" s="46"/>
      <c r="X517" s="46"/>
      <c r="Y517" s="46"/>
    </row>
    <row r="518" spans="1:25">
      <c r="A518" s="9"/>
      <c r="B518" s="9"/>
      <c r="C518" s="9"/>
      <c r="D518" s="9"/>
      <c r="E518" s="37"/>
      <c r="F518" s="37"/>
      <c r="G518" s="257"/>
      <c r="H518" s="112"/>
      <c r="I518" s="112"/>
      <c r="J518" s="112"/>
      <c r="K518" s="112"/>
      <c r="L518" s="112"/>
      <c r="M518" s="9"/>
      <c r="N518" s="9"/>
      <c r="O518" s="9"/>
      <c r="P518" s="9"/>
      <c r="Q518" s="9"/>
      <c r="R518" s="46"/>
      <c r="S518" s="46"/>
      <c r="T518" s="46"/>
      <c r="U518" s="46"/>
      <c r="V518" s="46"/>
      <c r="W518" s="46"/>
      <c r="X518" s="46"/>
      <c r="Y518" s="46"/>
    </row>
    <row r="519" spans="1:25">
      <c r="A519" s="9"/>
      <c r="B519" s="9"/>
      <c r="C519" s="9"/>
      <c r="D519" s="9"/>
      <c r="E519" s="37"/>
      <c r="F519" s="37"/>
      <c r="G519" s="257"/>
      <c r="H519" s="112"/>
      <c r="I519" s="112"/>
      <c r="J519" s="112"/>
      <c r="K519" s="112"/>
      <c r="L519" s="112"/>
      <c r="M519" s="9"/>
      <c r="N519" s="9"/>
      <c r="O519" s="9"/>
      <c r="P519" s="9"/>
      <c r="Q519" s="9"/>
      <c r="R519" s="46"/>
      <c r="S519" s="46"/>
      <c r="T519" s="46"/>
      <c r="U519" s="46"/>
      <c r="V519" s="46"/>
      <c r="W519" s="46"/>
      <c r="X519" s="46"/>
      <c r="Y519" s="46"/>
    </row>
    <row r="520" spans="1:25">
      <c r="A520" s="9"/>
      <c r="B520" s="9"/>
      <c r="C520" s="9"/>
      <c r="D520" s="9"/>
      <c r="E520" s="37"/>
      <c r="F520" s="37"/>
      <c r="G520" s="257"/>
      <c r="H520" s="112"/>
      <c r="I520" s="112"/>
      <c r="J520" s="112"/>
      <c r="K520" s="112"/>
      <c r="L520" s="112"/>
      <c r="M520" s="9"/>
      <c r="N520" s="9"/>
      <c r="O520" s="9"/>
      <c r="P520" s="9"/>
      <c r="Q520" s="9"/>
      <c r="R520" s="46"/>
      <c r="S520" s="46"/>
      <c r="T520" s="46"/>
      <c r="U520" s="46"/>
      <c r="V520" s="46"/>
      <c r="W520" s="46"/>
      <c r="X520" s="46"/>
      <c r="Y520" s="46"/>
    </row>
    <row r="521" spans="1:25">
      <c r="A521" s="9"/>
      <c r="B521" s="9"/>
      <c r="C521" s="9"/>
      <c r="D521" s="9"/>
      <c r="E521" s="37"/>
      <c r="F521" s="37"/>
      <c r="G521" s="257"/>
      <c r="H521" s="112"/>
      <c r="I521" s="112"/>
      <c r="J521" s="112"/>
      <c r="K521" s="112"/>
      <c r="L521" s="112"/>
      <c r="M521" s="9"/>
      <c r="N521" s="9"/>
      <c r="O521" s="9"/>
      <c r="P521" s="9"/>
      <c r="Q521" s="9"/>
      <c r="R521" s="46"/>
      <c r="S521" s="46"/>
      <c r="T521" s="46"/>
      <c r="U521" s="46"/>
      <c r="V521" s="46"/>
      <c r="W521" s="46"/>
      <c r="X521" s="46"/>
      <c r="Y521" s="46"/>
    </row>
    <row r="522" spans="1:25">
      <c r="A522" s="9"/>
      <c r="B522" s="9"/>
      <c r="C522" s="9"/>
      <c r="D522" s="9"/>
      <c r="E522" s="37"/>
      <c r="F522" s="37"/>
      <c r="G522" s="257"/>
      <c r="H522" s="112"/>
      <c r="I522" s="112"/>
      <c r="J522" s="112"/>
      <c r="K522" s="112"/>
      <c r="L522" s="112"/>
      <c r="M522" s="9"/>
      <c r="N522" s="9"/>
      <c r="O522" s="9"/>
      <c r="P522" s="9"/>
      <c r="Q522" s="9"/>
      <c r="R522" s="46"/>
      <c r="S522" s="46"/>
      <c r="T522" s="46"/>
      <c r="U522" s="46"/>
      <c r="V522" s="46"/>
      <c r="W522" s="46"/>
      <c r="X522" s="46"/>
      <c r="Y522" s="46"/>
    </row>
    <row r="523" spans="1:25">
      <c r="A523" s="9"/>
      <c r="B523" s="9"/>
      <c r="C523" s="9"/>
      <c r="D523" s="9"/>
      <c r="E523" s="37"/>
      <c r="F523" s="37"/>
      <c r="G523" s="257"/>
      <c r="H523" s="112"/>
      <c r="I523" s="112"/>
      <c r="J523" s="112"/>
      <c r="K523" s="112"/>
      <c r="L523" s="112"/>
      <c r="M523" s="9"/>
      <c r="N523" s="9"/>
      <c r="O523" s="9"/>
      <c r="P523" s="9"/>
      <c r="Q523" s="9"/>
      <c r="R523" s="46"/>
      <c r="S523" s="46"/>
      <c r="T523" s="46"/>
      <c r="U523" s="46"/>
      <c r="V523" s="46"/>
      <c r="W523" s="46"/>
      <c r="X523" s="46"/>
      <c r="Y523" s="46"/>
    </row>
    <row r="524" spans="1:25">
      <c r="A524" s="9"/>
      <c r="B524" s="9"/>
      <c r="C524" s="9"/>
      <c r="D524" s="9"/>
      <c r="E524" s="37"/>
      <c r="F524" s="37"/>
      <c r="G524" s="257"/>
      <c r="H524" s="112"/>
      <c r="I524" s="112"/>
      <c r="J524" s="112"/>
      <c r="K524" s="112"/>
      <c r="L524" s="112"/>
      <c r="M524" s="9"/>
      <c r="N524" s="9"/>
      <c r="O524" s="9"/>
      <c r="P524" s="9"/>
      <c r="Q524" s="9"/>
      <c r="R524" s="46"/>
      <c r="S524" s="46"/>
      <c r="T524" s="46"/>
      <c r="U524" s="46"/>
      <c r="V524" s="46"/>
      <c r="W524" s="46"/>
      <c r="X524" s="46"/>
      <c r="Y524" s="46"/>
    </row>
    <row r="525" spans="1:25">
      <c r="A525" s="9"/>
      <c r="B525" s="9"/>
      <c r="C525" s="9"/>
      <c r="D525" s="9"/>
      <c r="E525" s="37"/>
      <c r="F525" s="37"/>
      <c r="G525" s="257"/>
      <c r="H525" s="112"/>
      <c r="I525" s="112"/>
      <c r="J525" s="112"/>
      <c r="K525" s="112"/>
      <c r="L525" s="112"/>
      <c r="M525" s="9"/>
      <c r="N525" s="9"/>
      <c r="O525" s="9"/>
      <c r="P525" s="9"/>
      <c r="Q525" s="9"/>
      <c r="R525" s="46"/>
      <c r="S525" s="46"/>
      <c r="T525" s="46"/>
      <c r="U525" s="46"/>
      <c r="V525" s="46"/>
      <c r="W525" s="46"/>
      <c r="X525" s="46"/>
      <c r="Y525" s="46"/>
    </row>
    <row r="526" spans="1:25">
      <c r="A526" s="9"/>
      <c r="B526" s="9"/>
      <c r="C526" s="9"/>
      <c r="D526" s="9"/>
      <c r="E526" s="37"/>
      <c r="F526" s="37"/>
      <c r="G526" s="257"/>
      <c r="H526" s="112"/>
      <c r="I526" s="112"/>
      <c r="J526" s="112"/>
      <c r="K526" s="112"/>
      <c r="L526" s="112"/>
      <c r="M526" s="9"/>
      <c r="N526" s="9"/>
      <c r="O526" s="9"/>
      <c r="P526" s="9"/>
      <c r="Q526" s="9"/>
      <c r="R526" s="46"/>
      <c r="S526" s="46"/>
      <c r="T526" s="46"/>
      <c r="U526" s="46"/>
      <c r="V526" s="46"/>
      <c r="W526" s="46"/>
      <c r="X526" s="46"/>
      <c r="Y526" s="46"/>
    </row>
    <row r="527" spans="1:25">
      <c r="A527" s="9"/>
      <c r="B527" s="9"/>
      <c r="C527" s="9"/>
      <c r="D527" s="9"/>
      <c r="E527" s="37"/>
      <c r="F527" s="37"/>
      <c r="G527" s="257"/>
      <c r="H527" s="112"/>
      <c r="I527" s="112"/>
      <c r="J527" s="112"/>
      <c r="K527" s="112"/>
      <c r="L527" s="112"/>
      <c r="M527" s="9"/>
      <c r="N527" s="9"/>
      <c r="O527" s="9"/>
      <c r="P527" s="9"/>
      <c r="Q527" s="9"/>
      <c r="R527" s="46"/>
      <c r="S527" s="46"/>
      <c r="T527" s="46"/>
      <c r="U527" s="46"/>
      <c r="V527" s="46"/>
      <c r="W527" s="46"/>
      <c r="X527" s="46"/>
      <c r="Y527" s="46"/>
    </row>
    <row r="528" spans="1:25">
      <c r="A528" s="9"/>
      <c r="B528" s="9"/>
      <c r="C528" s="9"/>
      <c r="D528" s="9"/>
      <c r="E528" s="37"/>
      <c r="F528" s="37"/>
      <c r="G528" s="257"/>
      <c r="H528" s="112"/>
      <c r="I528" s="112"/>
      <c r="J528" s="112"/>
      <c r="K528" s="112"/>
      <c r="L528" s="112"/>
      <c r="M528" s="9"/>
      <c r="N528" s="9"/>
      <c r="O528" s="9"/>
      <c r="P528" s="9"/>
      <c r="Q528" s="9"/>
      <c r="R528" s="46"/>
      <c r="S528" s="46"/>
      <c r="T528" s="46"/>
      <c r="U528" s="46"/>
      <c r="V528" s="46"/>
      <c r="W528" s="46"/>
      <c r="X528" s="46"/>
      <c r="Y528" s="46"/>
    </row>
    <row r="529" spans="1:25">
      <c r="A529" s="9"/>
      <c r="B529" s="9"/>
      <c r="C529" s="9"/>
      <c r="D529" s="9"/>
      <c r="E529" s="37"/>
      <c r="F529" s="37"/>
      <c r="G529" s="257"/>
      <c r="H529" s="112"/>
      <c r="I529" s="112"/>
      <c r="J529" s="112"/>
      <c r="K529" s="112"/>
      <c r="L529" s="112"/>
      <c r="M529" s="9"/>
      <c r="N529" s="9"/>
      <c r="O529" s="9"/>
      <c r="P529" s="9"/>
      <c r="Q529" s="9"/>
      <c r="R529" s="46"/>
      <c r="S529" s="46"/>
      <c r="T529" s="46"/>
      <c r="U529" s="46"/>
      <c r="V529" s="46"/>
      <c r="W529" s="46"/>
      <c r="X529" s="46"/>
      <c r="Y529" s="46"/>
    </row>
    <row r="530" spans="1:25">
      <c r="A530" s="9"/>
      <c r="B530" s="9"/>
      <c r="C530" s="9"/>
      <c r="D530" s="9"/>
      <c r="E530" s="37"/>
      <c r="F530" s="37"/>
      <c r="G530" s="257"/>
      <c r="H530" s="112"/>
      <c r="I530" s="112"/>
      <c r="J530" s="112"/>
      <c r="K530" s="112"/>
      <c r="L530" s="112"/>
      <c r="M530" s="9"/>
      <c r="N530" s="9"/>
      <c r="O530" s="9"/>
      <c r="P530" s="9"/>
      <c r="Q530" s="9"/>
      <c r="R530" s="46"/>
      <c r="S530" s="46"/>
      <c r="T530" s="46"/>
      <c r="U530" s="46"/>
      <c r="V530" s="46"/>
      <c r="W530" s="46"/>
      <c r="X530" s="46"/>
      <c r="Y530" s="46"/>
    </row>
    <row r="531" spans="1:25">
      <c r="A531" s="9"/>
      <c r="B531" s="9"/>
      <c r="C531" s="9"/>
      <c r="D531" s="9"/>
      <c r="E531" s="37"/>
      <c r="F531" s="37"/>
      <c r="G531" s="257"/>
      <c r="H531" s="112"/>
      <c r="I531" s="112"/>
      <c r="J531" s="112"/>
      <c r="K531" s="112"/>
      <c r="L531" s="112"/>
      <c r="M531" s="9"/>
      <c r="N531" s="9"/>
      <c r="O531" s="9"/>
      <c r="P531" s="9"/>
      <c r="Q531" s="9"/>
      <c r="R531" s="46"/>
      <c r="S531" s="46"/>
      <c r="T531" s="46"/>
      <c r="U531" s="46"/>
      <c r="V531" s="46"/>
      <c r="W531" s="46"/>
      <c r="X531" s="46"/>
      <c r="Y531" s="46"/>
    </row>
    <row r="532" spans="1:25">
      <c r="A532" s="9"/>
      <c r="B532" s="9"/>
      <c r="C532" s="9"/>
      <c r="D532" s="9"/>
      <c r="E532" s="37"/>
      <c r="F532" s="37"/>
      <c r="G532" s="257"/>
      <c r="H532" s="112"/>
      <c r="I532" s="112"/>
      <c r="J532" s="112"/>
      <c r="K532" s="112"/>
      <c r="L532" s="112"/>
      <c r="M532" s="9"/>
      <c r="N532" s="9"/>
      <c r="O532" s="9"/>
      <c r="P532" s="9"/>
      <c r="Q532" s="9"/>
      <c r="R532" s="46"/>
      <c r="S532" s="46"/>
      <c r="T532" s="46"/>
      <c r="U532" s="46"/>
      <c r="V532" s="46"/>
      <c r="W532" s="46"/>
      <c r="X532" s="46"/>
      <c r="Y532" s="46"/>
    </row>
    <row r="533" spans="1:25">
      <c r="A533" s="9"/>
      <c r="B533" s="9"/>
      <c r="C533" s="9"/>
      <c r="D533" s="9"/>
      <c r="E533" s="37"/>
      <c r="F533" s="37"/>
      <c r="G533" s="257"/>
      <c r="H533" s="112"/>
      <c r="I533" s="112"/>
      <c r="J533" s="112"/>
      <c r="K533" s="112"/>
      <c r="L533" s="112"/>
      <c r="M533" s="9"/>
      <c r="N533" s="9"/>
      <c r="O533" s="9"/>
      <c r="P533" s="9"/>
      <c r="Q533" s="9"/>
      <c r="R533" s="46"/>
      <c r="S533" s="46"/>
      <c r="T533" s="46"/>
      <c r="U533" s="46"/>
      <c r="V533" s="46"/>
      <c r="W533" s="46"/>
      <c r="X533" s="46"/>
      <c r="Y533" s="46"/>
    </row>
    <row r="534" spans="1:25">
      <c r="A534" s="9"/>
      <c r="B534" s="9"/>
      <c r="C534" s="9"/>
      <c r="D534" s="9"/>
      <c r="E534" s="37"/>
      <c r="F534" s="37"/>
      <c r="G534" s="257"/>
      <c r="H534" s="112"/>
      <c r="I534" s="112"/>
      <c r="J534" s="112"/>
      <c r="K534" s="112"/>
      <c r="L534" s="112"/>
      <c r="M534" s="9"/>
      <c r="N534" s="9"/>
      <c r="O534" s="9"/>
      <c r="P534" s="9"/>
      <c r="Q534" s="9"/>
      <c r="R534" s="46"/>
      <c r="S534" s="46"/>
      <c r="T534" s="46"/>
      <c r="U534" s="46"/>
      <c r="V534" s="46"/>
      <c r="W534" s="46"/>
      <c r="X534" s="46"/>
      <c r="Y534" s="46"/>
    </row>
    <row r="535" spans="1:25">
      <c r="A535" s="9"/>
      <c r="B535" s="9"/>
      <c r="C535" s="9"/>
      <c r="D535" s="9"/>
      <c r="E535" s="37"/>
      <c r="F535" s="37"/>
      <c r="G535" s="257"/>
      <c r="H535" s="112"/>
      <c r="I535" s="112"/>
      <c r="J535" s="112"/>
      <c r="K535" s="112"/>
      <c r="L535" s="112"/>
      <c r="M535" s="9"/>
      <c r="N535" s="9"/>
      <c r="O535" s="9"/>
      <c r="P535" s="9"/>
      <c r="Q535" s="9"/>
      <c r="R535" s="46"/>
      <c r="S535" s="46"/>
      <c r="T535" s="46"/>
      <c r="U535" s="46"/>
      <c r="V535" s="46"/>
      <c r="W535" s="46"/>
      <c r="X535" s="46"/>
      <c r="Y535" s="46"/>
    </row>
    <row r="536" spans="1:25">
      <c r="A536" s="9"/>
      <c r="B536" s="9"/>
      <c r="C536" s="9"/>
      <c r="D536" s="9"/>
      <c r="E536" s="37"/>
      <c r="F536" s="37"/>
      <c r="G536" s="257"/>
      <c r="H536" s="112"/>
      <c r="I536" s="112"/>
      <c r="J536" s="112"/>
      <c r="K536" s="112"/>
      <c r="L536" s="112"/>
      <c r="M536" s="9"/>
      <c r="N536" s="9"/>
      <c r="O536" s="9"/>
      <c r="P536" s="9"/>
      <c r="Q536" s="9"/>
      <c r="R536" s="46"/>
      <c r="S536" s="46"/>
      <c r="T536" s="46"/>
      <c r="U536" s="46"/>
      <c r="V536" s="46"/>
      <c r="W536" s="46"/>
      <c r="X536" s="46"/>
      <c r="Y536" s="46"/>
    </row>
    <row r="537" spans="1:25">
      <c r="A537" s="9"/>
      <c r="B537" s="9"/>
      <c r="C537" s="9"/>
      <c r="D537" s="9"/>
      <c r="E537" s="37"/>
      <c r="F537" s="37"/>
      <c r="G537" s="257"/>
      <c r="H537" s="112"/>
      <c r="I537" s="112"/>
      <c r="J537" s="112"/>
      <c r="K537" s="112"/>
      <c r="L537" s="112"/>
      <c r="M537" s="9"/>
      <c r="N537" s="9"/>
      <c r="O537" s="9"/>
      <c r="P537" s="9"/>
      <c r="Q537" s="9"/>
      <c r="R537" s="46"/>
      <c r="S537" s="46"/>
      <c r="T537" s="46"/>
      <c r="U537" s="46"/>
      <c r="V537" s="46"/>
      <c r="W537" s="46"/>
      <c r="X537" s="46"/>
      <c r="Y537" s="46"/>
    </row>
    <row r="538" spans="1:25">
      <c r="A538" s="9"/>
      <c r="B538" s="9"/>
      <c r="C538" s="9"/>
      <c r="D538" s="9"/>
      <c r="E538" s="37"/>
      <c r="F538" s="37"/>
      <c r="G538" s="257"/>
      <c r="H538" s="112"/>
      <c r="I538" s="112"/>
      <c r="J538" s="112"/>
      <c r="K538" s="112"/>
      <c r="L538" s="112"/>
      <c r="M538" s="9"/>
      <c r="N538" s="9"/>
      <c r="O538" s="9"/>
      <c r="P538" s="9"/>
      <c r="Q538" s="9"/>
      <c r="R538" s="46"/>
      <c r="S538" s="46"/>
      <c r="T538" s="46"/>
      <c r="U538" s="46"/>
      <c r="V538" s="46"/>
      <c r="W538" s="46"/>
      <c r="X538" s="46"/>
      <c r="Y538" s="46"/>
    </row>
    <row r="539" spans="1:25">
      <c r="A539" s="9"/>
      <c r="B539" s="9"/>
      <c r="C539" s="9"/>
      <c r="D539" s="9"/>
      <c r="E539" s="37"/>
      <c r="F539" s="37"/>
      <c r="G539" s="257"/>
      <c r="H539" s="112"/>
      <c r="I539" s="112"/>
      <c r="J539" s="112"/>
      <c r="K539" s="112"/>
      <c r="L539" s="112"/>
      <c r="M539" s="9"/>
      <c r="N539" s="9"/>
      <c r="O539" s="9"/>
      <c r="P539" s="9"/>
      <c r="Q539" s="9"/>
      <c r="R539" s="46"/>
      <c r="S539" s="46"/>
      <c r="T539" s="46"/>
      <c r="U539" s="46"/>
      <c r="V539" s="46"/>
      <c r="W539" s="46"/>
      <c r="X539" s="46"/>
      <c r="Y539" s="46"/>
    </row>
    <row r="540" spans="1:25">
      <c r="A540" s="9"/>
      <c r="B540" s="9"/>
      <c r="C540" s="9"/>
      <c r="D540" s="9"/>
      <c r="E540" s="37"/>
      <c r="F540" s="37"/>
      <c r="G540" s="257"/>
      <c r="H540" s="112"/>
      <c r="I540" s="112"/>
      <c r="J540" s="112"/>
      <c r="K540" s="112"/>
      <c r="L540" s="112"/>
      <c r="M540" s="9"/>
      <c r="N540" s="9"/>
      <c r="O540" s="9"/>
      <c r="P540" s="9"/>
      <c r="Q540" s="9"/>
      <c r="R540" s="46"/>
      <c r="S540" s="46"/>
      <c r="T540" s="46"/>
      <c r="U540" s="46"/>
      <c r="V540" s="46"/>
      <c r="W540" s="46"/>
      <c r="X540" s="46"/>
      <c r="Y540" s="46"/>
    </row>
    <row r="541" spans="1:25">
      <c r="A541" s="9"/>
      <c r="B541" s="9"/>
      <c r="C541" s="9"/>
      <c r="D541" s="9"/>
      <c r="E541" s="37"/>
      <c r="F541" s="37"/>
      <c r="G541" s="257"/>
      <c r="H541" s="112"/>
      <c r="I541" s="112"/>
      <c r="J541" s="112"/>
      <c r="K541" s="112"/>
      <c r="L541" s="112"/>
      <c r="M541" s="9"/>
      <c r="N541" s="9"/>
      <c r="O541" s="9"/>
      <c r="P541" s="9"/>
      <c r="Q541" s="9"/>
      <c r="R541" s="46"/>
      <c r="S541" s="46"/>
      <c r="T541" s="46"/>
      <c r="U541" s="46"/>
      <c r="V541" s="46"/>
      <c r="W541" s="46"/>
      <c r="X541" s="46"/>
      <c r="Y541" s="46"/>
    </row>
    <row r="542" spans="1:25">
      <c r="A542" s="9"/>
      <c r="B542" s="9"/>
      <c r="C542" s="9"/>
      <c r="D542" s="9"/>
      <c r="E542" s="37"/>
      <c r="F542" s="37"/>
      <c r="G542" s="257"/>
      <c r="H542" s="112"/>
      <c r="I542" s="112"/>
      <c r="J542" s="112"/>
      <c r="K542" s="112"/>
      <c r="L542" s="112"/>
      <c r="M542" s="9"/>
      <c r="N542" s="9"/>
      <c r="O542" s="9"/>
      <c r="P542" s="9"/>
      <c r="Q542" s="9"/>
      <c r="R542" s="46"/>
      <c r="S542" s="46"/>
      <c r="T542" s="46"/>
      <c r="U542" s="46"/>
      <c r="V542" s="46"/>
      <c r="W542" s="46"/>
      <c r="X542" s="46"/>
      <c r="Y542" s="46"/>
    </row>
    <row r="543" spans="1:25">
      <c r="A543" s="9"/>
      <c r="B543" s="9"/>
      <c r="C543" s="9"/>
      <c r="D543" s="9"/>
      <c r="E543" s="37"/>
      <c r="F543" s="37"/>
      <c r="G543" s="257"/>
      <c r="H543" s="112"/>
      <c r="I543" s="112"/>
      <c r="J543" s="112"/>
      <c r="K543" s="112"/>
      <c r="L543" s="112"/>
      <c r="M543" s="9"/>
      <c r="N543" s="9"/>
      <c r="O543" s="9"/>
      <c r="P543" s="9"/>
      <c r="Q543" s="9"/>
      <c r="R543" s="46"/>
      <c r="S543" s="46"/>
      <c r="T543" s="46"/>
      <c r="U543" s="46"/>
      <c r="V543" s="46"/>
      <c r="W543" s="46"/>
      <c r="X543" s="46"/>
      <c r="Y543" s="46"/>
    </row>
    <row r="544" spans="1:25">
      <c r="A544" s="9"/>
      <c r="B544" s="9"/>
      <c r="C544" s="9"/>
      <c r="D544" s="9"/>
      <c r="E544" s="37"/>
      <c r="F544" s="37"/>
      <c r="G544" s="257"/>
      <c r="H544" s="112"/>
      <c r="I544" s="112"/>
      <c r="J544" s="112"/>
      <c r="K544" s="112"/>
      <c r="L544" s="112"/>
      <c r="M544" s="9"/>
      <c r="N544" s="9"/>
      <c r="O544" s="9"/>
      <c r="P544" s="9"/>
      <c r="Q544" s="9"/>
      <c r="R544" s="46"/>
      <c r="S544" s="46"/>
      <c r="T544" s="46"/>
      <c r="U544" s="46"/>
      <c r="V544" s="46"/>
      <c r="W544" s="46"/>
      <c r="X544" s="46"/>
      <c r="Y544" s="46"/>
    </row>
    <row r="545" spans="1:25">
      <c r="A545" s="9"/>
      <c r="B545" s="9"/>
      <c r="C545" s="9"/>
      <c r="D545" s="9"/>
      <c r="E545" s="37"/>
      <c r="F545" s="37"/>
      <c r="G545" s="257"/>
      <c r="H545" s="112"/>
      <c r="I545" s="112"/>
      <c r="J545" s="112"/>
      <c r="K545" s="112"/>
      <c r="L545" s="112"/>
      <c r="M545" s="9"/>
      <c r="N545" s="9"/>
      <c r="O545" s="9"/>
      <c r="P545" s="9"/>
      <c r="Q545" s="9"/>
      <c r="R545" s="46"/>
      <c r="S545" s="46"/>
      <c r="T545" s="46"/>
      <c r="U545" s="46"/>
      <c r="V545" s="46"/>
      <c r="W545" s="46"/>
      <c r="X545" s="46"/>
      <c r="Y545" s="46"/>
    </row>
    <row r="546" spans="1:25">
      <c r="A546" s="9"/>
      <c r="B546" s="9"/>
      <c r="C546" s="9"/>
      <c r="D546" s="9"/>
      <c r="E546" s="37"/>
      <c r="F546" s="37"/>
      <c r="G546" s="257"/>
      <c r="H546" s="112"/>
      <c r="I546" s="112"/>
      <c r="J546" s="112"/>
      <c r="K546" s="112"/>
      <c r="L546" s="112"/>
      <c r="M546" s="9"/>
      <c r="N546" s="9"/>
      <c r="O546" s="9"/>
      <c r="P546" s="9"/>
      <c r="Q546" s="9"/>
      <c r="R546" s="46"/>
      <c r="S546" s="46"/>
      <c r="T546" s="46"/>
      <c r="U546" s="46"/>
      <c r="V546" s="46"/>
      <c r="W546" s="46"/>
      <c r="X546" s="46"/>
      <c r="Y546" s="46"/>
    </row>
    <row r="547" spans="1:25">
      <c r="A547" s="9"/>
      <c r="B547" s="9"/>
      <c r="C547" s="9"/>
      <c r="D547" s="9"/>
      <c r="E547" s="37"/>
      <c r="F547" s="37"/>
      <c r="G547" s="257"/>
      <c r="H547" s="112"/>
      <c r="I547" s="112"/>
      <c r="J547" s="112"/>
      <c r="K547" s="112"/>
      <c r="L547" s="112"/>
      <c r="M547" s="9"/>
      <c r="N547" s="9"/>
      <c r="O547" s="9"/>
      <c r="P547" s="9"/>
      <c r="Q547" s="9"/>
      <c r="R547" s="46"/>
      <c r="S547" s="46"/>
      <c r="T547" s="46"/>
      <c r="U547" s="46"/>
      <c r="V547" s="46"/>
      <c r="W547" s="46"/>
      <c r="X547" s="46"/>
      <c r="Y547" s="46"/>
    </row>
    <row r="548" spans="1:25">
      <c r="A548" s="9"/>
      <c r="B548" s="9"/>
      <c r="C548" s="9"/>
      <c r="D548" s="9"/>
      <c r="E548" s="37"/>
      <c r="F548" s="37"/>
      <c r="G548" s="257"/>
      <c r="H548" s="112"/>
      <c r="I548" s="112"/>
      <c r="J548" s="112"/>
      <c r="K548" s="112"/>
      <c r="L548" s="112"/>
      <c r="M548" s="9"/>
      <c r="N548" s="9"/>
      <c r="O548" s="9"/>
      <c r="P548" s="9"/>
      <c r="Q548" s="9"/>
      <c r="R548" s="46"/>
      <c r="S548" s="46"/>
      <c r="T548" s="46"/>
      <c r="U548" s="46"/>
      <c r="V548" s="46"/>
      <c r="W548" s="46"/>
      <c r="X548" s="46"/>
      <c r="Y548" s="46"/>
    </row>
    <row r="549" spans="1:25">
      <c r="A549" s="9"/>
      <c r="B549" s="9"/>
      <c r="C549" s="9"/>
      <c r="D549" s="9"/>
      <c r="E549" s="37"/>
      <c r="F549" s="37"/>
      <c r="G549" s="257"/>
      <c r="H549" s="112"/>
      <c r="I549" s="112"/>
      <c r="J549" s="112"/>
      <c r="K549" s="112"/>
      <c r="L549" s="112"/>
      <c r="M549" s="9"/>
      <c r="N549" s="9"/>
      <c r="O549" s="9"/>
      <c r="P549" s="9"/>
      <c r="Q549" s="9"/>
      <c r="R549" s="46"/>
      <c r="S549" s="46"/>
      <c r="T549" s="46"/>
      <c r="U549" s="46"/>
      <c r="V549" s="46"/>
      <c r="W549" s="46"/>
      <c r="X549" s="46"/>
      <c r="Y549" s="46"/>
    </row>
    <row r="550" spans="1:25">
      <c r="A550" s="9"/>
      <c r="B550" s="9"/>
      <c r="C550" s="9"/>
      <c r="D550" s="9"/>
      <c r="E550" s="37"/>
      <c r="F550" s="37"/>
      <c r="G550" s="257"/>
      <c r="H550" s="112"/>
      <c r="I550" s="112"/>
      <c r="J550" s="112"/>
      <c r="K550" s="112"/>
      <c r="L550" s="112"/>
      <c r="M550" s="9"/>
      <c r="N550" s="9"/>
      <c r="O550" s="9"/>
      <c r="P550" s="9"/>
      <c r="Q550" s="9"/>
      <c r="R550" s="46"/>
      <c r="S550" s="46"/>
      <c r="T550" s="46"/>
      <c r="U550" s="46"/>
      <c r="V550" s="46"/>
      <c r="W550" s="46"/>
      <c r="X550" s="46"/>
      <c r="Y550" s="46"/>
    </row>
    <row r="551" spans="1:25">
      <c r="A551" s="9"/>
      <c r="B551" s="9"/>
      <c r="C551" s="9"/>
      <c r="D551" s="9"/>
      <c r="E551" s="37"/>
      <c r="F551" s="37"/>
      <c r="G551" s="257"/>
      <c r="H551" s="112"/>
      <c r="I551" s="112"/>
      <c r="J551" s="112"/>
      <c r="K551" s="112"/>
      <c r="L551" s="112"/>
      <c r="M551" s="9"/>
      <c r="N551" s="9"/>
      <c r="O551" s="9"/>
      <c r="P551" s="9"/>
      <c r="Q551" s="9"/>
      <c r="R551" s="46"/>
      <c r="S551" s="46"/>
      <c r="T551" s="46"/>
      <c r="U551" s="46"/>
      <c r="V551" s="46"/>
      <c r="W551" s="46"/>
      <c r="X551" s="46"/>
      <c r="Y551" s="46"/>
    </row>
    <row r="552" spans="1:25">
      <c r="A552" s="9"/>
      <c r="B552" s="9"/>
      <c r="C552" s="9"/>
      <c r="D552" s="9"/>
      <c r="E552" s="37"/>
      <c r="F552" s="37"/>
      <c r="G552" s="257"/>
      <c r="H552" s="112"/>
      <c r="I552" s="112"/>
      <c r="J552" s="112"/>
      <c r="K552" s="112"/>
      <c r="L552" s="112"/>
      <c r="M552" s="9"/>
      <c r="N552" s="9"/>
      <c r="O552" s="9"/>
      <c r="P552" s="9"/>
      <c r="Q552" s="9"/>
      <c r="R552" s="46"/>
      <c r="S552" s="46"/>
      <c r="T552" s="46"/>
      <c r="U552" s="46"/>
      <c r="V552" s="46"/>
      <c r="W552" s="46"/>
      <c r="X552" s="46"/>
      <c r="Y552" s="46"/>
    </row>
    <row r="553" spans="1:25">
      <c r="A553" s="9"/>
      <c r="B553" s="9"/>
      <c r="C553" s="9"/>
      <c r="D553" s="9"/>
      <c r="E553" s="37"/>
      <c r="F553" s="37"/>
      <c r="G553" s="257"/>
      <c r="H553" s="112"/>
      <c r="I553" s="112"/>
      <c r="J553" s="112"/>
      <c r="K553" s="112"/>
      <c r="L553" s="112"/>
      <c r="M553" s="9"/>
      <c r="N553" s="9"/>
      <c r="O553" s="9"/>
      <c r="P553" s="9"/>
      <c r="Q553" s="9"/>
      <c r="R553" s="46"/>
      <c r="S553" s="46"/>
      <c r="T553" s="46"/>
      <c r="U553" s="46"/>
      <c r="V553" s="46"/>
      <c r="W553" s="46"/>
      <c r="X553" s="46"/>
      <c r="Y553" s="46"/>
    </row>
    <row r="554" spans="1:25">
      <c r="A554" s="9"/>
      <c r="B554" s="9"/>
      <c r="C554" s="9"/>
      <c r="D554" s="9"/>
      <c r="E554" s="37"/>
      <c r="F554" s="37"/>
      <c r="G554" s="257"/>
      <c r="H554" s="112"/>
      <c r="I554" s="112"/>
      <c r="J554" s="112"/>
      <c r="K554" s="112"/>
      <c r="L554" s="112"/>
      <c r="M554" s="9"/>
      <c r="N554" s="9"/>
      <c r="O554" s="9"/>
      <c r="P554" s="9"/>
      <c r="Q554" s="9"/>
      <c r="R554" s="46"/>
      <c r="S554" s="46"/>
      <c r="T554" s="46"/>
      <c r="U554" s="46"/>
      <c r="V554" s="46"/>
      <c r="W554" s="46"/>
      <c r="X554" s="46"/>
      <c r="Y554" s="46"/>
    </row>
    <row r="555" spans="1:25">
      <c r="A555" s="9"/>
      <c r="B555" s="9"/>
      <c r="C555" s="9"/>
      <c r="D555" s="9"/>
      <c r="E555" s="37"/>
      <c r="F555" s="37"/>
      <c r="G555" s="257"/>
      <c r="H555" s="112"/>
      <c r="I555" s="112"/>
      <c r="J555" s="112"/>
      <c r="K555" s="112"/>
      <c r="L555" s="112"/>
      <c r="M555" s="9"/>
      <c r="N555" s="9"/>
      <c r="O555" s="9"/>
      <c r="P555" s="9"/>
      <c r="Q555" s="9"/>
      <c r="R555" s="46"/>
      <c r="S555" s="46"/>
      <c r="T555" s="46"/>
      <c r="U555" s="46"/>
      <c r="V555" s="46"/>
      <c r="W555" s="46"/>
      <c r="X555" s="46"/>
      <c r="Y555" s="46"/>
    </row>
    <row r="556" spans="1:25">
      <c r="A556" s="9"/>
      <c r="B556" s="9"/>
      <c r="C556" s="9"/>
      <c r="D556" s="9"/>
      <c r="E556" s="37"/>
      <c r="F556" s="37"/>
      <c r="G556" s="257"/>
      <c r="H556" s="112"/>
      <c r="I556" s="112"/>
      <c r="J556" s="112"/>
      <c r="K556" s="112"/>
      <c r="L556" s="112"/>
      <c r="M556" s="9"/>
      <c r="N556" s="9"/>
      <c r="O556" s="9"/>
      <c r="P556" s="9"/>
      <c r="Q556" s="9"/>
      <c r="R556" s="46"/>
      <c r="S556" s="46"/>
      <c r="T556" s="46"/>
      <c r="U556" s="46"/>
      <c r="V556" s="46"/>
      <c r="W556" s="46"/>
      <c r="X556" s="46"/>
      <c r="Y556" s="46"/>
    </row>
    <row r="557" spans="1:25">
      <c r="A557" s="9"/>
      <c r="B557" s="9"/>
      <c r="C557" s="9"/>
      <c r="D557" s="9"/>
      <c r="E557" s="37"/>
      <c r="F557" s="37"/>
      <c r="G557" s="257"/>
      <c r="H557" s="112"/>
      <c r="I557" s="112"/>
      <c r="J557" s="112"/>
      <c r="K557" s="112"/>
      <c r="L557" s="112"/>
      <c r="M557" s="9"/>
      <c r="N557" s="9"/>
      <c r="O557" s="9"/>
      <c r="P557" s="9"/>
      <c r="Q557" s="9"/>
      <c r="R557" s="46"/>
      <c r="S557" s="46"/>
      <c r="T557" s="46"/>
      <c r="U557" s="46"/>
      <c r="V557" s="46"/>
      <c r="W557" s="46"/>
      <c r="X557" s="46"/>
      <c r="Y557" s="46"/>
    </row>
    <row r="558" spans="1:25">
      <c r="A558" s="9"/>
      <c r="B558" s="9"/>
      <c r="C558" s="9"/>
      <c r="D558" s="9"/>
      <c r="E558" s="37"/>
      <c r="F558" s="37"/>
      <c r="G558" s="257"/>
      <c r="H558" s="112"/>
      <c r="I558" s="112"/>
      <c r="J558" s="112"/>
      <c r="K558" s="112"/>
      <c r="L558" s="112"/>
      <c r="M558" s="9"/>
      <c r="N558" s="9"/>
      <c r="O558" s="9"/>
      <c r="P558" s="9"/>
      <c r="Q558" s="9"/>
      <c r="R558" s="46"/>
      <c r="S558" s="46"/>
      <c r="T558" s="46"/>
      <c r="U558" s="46"/>
      <c r="V558" s="46"/>
      <c r="W558" s="46"/>
      <c r="X558" s="46"/>
      <c r="Y558" s="46"/>
    </row>
    <row r="559" spans="1:25">
      <c r="A559" s="9"/>
      <c r="B559" s="9"/>
      <c r="C559" s="9"/>
      <c r="D559" s="9"/>
      <c r="E559" s="37"/>
      <c r="F559" s="37"/>
      <c r="G559" s="257"/>
      <c r="H559" s="112"/>
      <c r="I559" s="112"/>
      <c r="J559" s="112"/>
      <c r="K559" s="112"/>
      <c r="L559" s="112"/>
      <c r="M559" s="9"/>
      <c r="N559" s="9"/>
      <c r="O559" s="9"/>
      <c r="P559" s="9"/>
      <c r="Q559" s="9"/>
      <c r="R559" s="46"/>
      <c r="S559" s="46"/>
      <c r="T559" s="46"/>
      <c r="U559" s="46"/>
      <c r="V559" s="46"/>
      <c r="W559" s="46"/>
      <c r="X559" s="46"/>
      <c r="Y559" s="46"/>
    </row>
    <row r="560" spans="1:25">
      <c r="A560" s="9"/>
      <c r="B560" s="9"/>
      <c r="C560" s="9"/>
      <c r="D560" s="9"/>
      <c r="E560" s="37"/>
      <c r="F560" s="37"/>
      <c r="G560" s="257"/>
      <c r="H560" s="112"/>
      <c r="I560" s="112"/>
      <c r="J560" s="112"/>
      <c r="K560" s="112"/>
      <c r="L560" s="112"/>
      <c r="M560" s="9"/>
      <c r="N560" s="9"/>
      <c r="O560" s="9"/>
      <c r="P560" s="9"/>
      <c r="Q560" s="9"/>
      <c r="R560" s="46"/>
      <c r="S560" s="46"/>
      <c r="T560" s="46"/>
      <c r="U560" s="46"/>
      <c r="V560" s="46"/>
      <c r="W560" s="46"/>
      <c r="X560" s="46"/>
      <c r="Y560" s="46"/>
    </row>
    <row r="561" spans="1:25">
      <c r="A561" s="9"/>
      <c r="B561" s="9"/>
      <c r="C561" s="9"/>
      <c r="D561" s="9"/>
      <c r="E561" s="37"/>
      <c r="F561" s="37"/>
      <c r="G561" s="257"/>
      <c r="H561" s="112"/>
      <c r="I561" s="112"/>
      <c r="J561" s="112"/>
      <c r="K561" s="112"/>
      <c r="L561" s="112"/>
      <c r="M561" s="9"/>
      <c r="N561" s="9"/>
      <c r="O561" s="9"/>
      <c r="P561" s="9"/>
      <c r="Q561" s="9"/>
      <c r="R561" s="46"/>
      <c r="S561" s="46"/>
      <c r="T561" s="46"/>
      <c r="U561" s="46"/>
      <c r="V561" s="46"/>
      <c r="W561" s="46"/>
      <c r="X561" s="46"/>
      <c r="Y561" s="46"/>
    </row>
    <row r="562" spans="1:25">
      <c r="A562" s="9"/>
      <c r="B562" s="9"/>
      <c r="C562" s="9"/>
      <c r="D562" s="9"/>
      <c r="E562" s="37"/>
      <c r="F562" s="37"/>
      <c r="G562" s="257"/>
      <c r="H562" s="112"/>
      <c r="I562" s="112"/>
      <c r="J562" s="112"/>
      <c r="K562" s="112"/>
      <c r="L562" s="112"/>
      <c r="M562" s="9"/>
      <c r="N562" s="9"/>
      <c r="O562" s="9"/>
      <c r="P562" s="9"/>
      <c r="Q562" s="9"/>
      <c r="R562" s="46"/>
      <c r="S562" s="46"/>
      <c r="T562" s="46"/>
      <c r="U562" s="46"/>
      <c r="V562" s="46"/>
      <c r="W562" s="46"/>
      <c r="X562" s="46"/>
      <c r="Y562" s="46"/>
    </row>
    <row r="563" spans="1:25">
      <c r="A563" s="9"/>
      <c r="B563" s="9"/>
      <c r="C563" s="9"/>
      <c r="D563" s="9"/>
      <c r="E563" s="37"/>
      <c r="F563" s="37"/>
      <c r="G563" s="257"/>
      <c r="H563" s="112"/>
      <c r="I563" s="112"/>
      <c r="J563" s="112"/>
      <c r="K563" s="112"/>
      <c r="L563" s="112"/>
      <c r="M563" s="9"/>
      <c r="N563" s="9"/>
      <c r="O563" s="9"/>
      <c r="P563" s="9"/>
      <c r="Q563" s="9"/>
      <c r="R563" s="46"/>
      <c r="S563" s="46"/>
      <c r="T563" s="46"/>
      <c r="U563" s="46"/>
      <c r="V563" s="46"/>
      <c r="W563" s="46"/>
      <c r="X563" s="46"/>
      <c r="Y563" s="46"/>
    </row>
    <row r="564" spans="1:25">
      <c r="A564" s="9"/>
      <c r="B564" s="9"/>
      <c r="C564" s="9"/>
      <c r="D564" s="9"/>
      <c r="E564" s="37"/>
      <c r="F564" s="37"/>
      <c r="G564" s="257"/>
      <c r="H564" s="112"/>
      <c r="I564" s="112"/>
      <c r="J564" s="112"/>
      <c r="K564" s="112"/>
      <c r="L564" s="112"/>
      <c r="M564" s="9"/>
      <c r="N564" s="9"/>
      <c r="O564" s="9"/>
      <c r="P564" s="9"/>
      <c r="Q564" s="9"/>
      <c r="R564" s="46"/>
      <c r="S564" s="46"/>
      <c r="T564" s="46"/>
      <c r="U564" s="46"/>
      <c r="V564" s="46"/>
      <c r="W564" s="46"/>
      <c r="X564" s="46"/>
      <c r="Y564" s="46"/>
    </row>
    <row r="565" spans="1:25">
      <c r="A565" s="9"/>
      <c r="B565" s="9"/>
      <c r="C565" s="9"/>
      <c r="D565" s="9"/>
      <c r="E565" s="37"/>
      <c r="F565" s="37"/>
      <c r="G565" s="257"/>
      <c r="H565" s="112"/>
      <c r="I565" s="112"/>
      <c r="J565" s="112"/>
      <c r="K565" s="112"/>
      <c r="L565" s="112"/>
      <c r="M565" s="9"/>
      <c r="N565" s="9"/>
      <c r="O565" s="9"/>
      <c r="P565" s="9"/>
      <c r="Q565" s="9"/>
      <c r="R565" s="46"/>
      <c r="S565" s="46"/>
      <c r="T565" s="46"/>
      <c r="U565" s="46"/>
      <c r="V565" s="46"/>
      <c r="W565" s="46"/>
      <c r="X565" s="46"/>
      <c r="Y565" s="46"/>
    </row>
    <row r="566" spans="1:25">
      <c r="A566" s="9"/>
      <c r="B566" s="9"/>
      <c r="C566" s="9"/>
      <c r="D566" s="9"/>
      <c r="E566" s="37"/>
      <c r="F566" s="37"/>
      <c r="G566" s="257"/>
      <c r="H566" s="112"/>
      <c r="I566" s="112"/>
      <c r="J566" s="112"/>
      <c r="K566" s="112"/>
      <c r="L566" s="112"/>
      <c r="M566" s="9"/>
      <c r="N566" s="9"/>
      <c r="O566" s="9"/>
      <c r="P566" s="9"/>
      <c r="Q566" s="9"/>
      <c r="R566" s="46"/>
      <c r="S566" s="46"/>
      <c r="T566" s="46"/>
      <c r="U566" s="46"/>
      <c r="V566" s="46"/>
      <c r="W566" s="46"/>
      <c r="X566" s="46"/>
      <c r="Y566" s="46"/>
    </row>
    <row r="567" spans="1:25">
      <c r="A567" s="9"/>
      <c r="B567" s="9"/>
      <c r="C567" s="9"/>
      <c r="D567" s="9"/>
      <c r="E567" s="37"/>
      <c r="F567" s="37"/>
      <c r="G567" s="257"/>
      <c r="H567" s="112"/>
      <c r="I567" s="112"/>
      <c r="J567" s="112"/>
      <c r="K567" s="112"/>
      <c r="L567" s="112"/>
      <c r="M567" s="9"/>
      <c r="N567" s="9"/>
      <c r="O567" s="9"/>
      <c r="P567" s="9"/>
      <c r="Q567" s="9"/>
      <c r="R567" s="46"/>
      <c r="S567" s="46"/>
      <c r="T567" s="46"/>
      <c r="U567" s="46"/>
      <c r="V567" s="46"/>
      <c r="W567" s="46"/>
      <c r="X567" s="46"/>
      <c r="Y567" s="46"/>
    </row>
    <row r="568" spans="1:25">
      <c r="A568" s="9"/>
      <c r="B568" s="9"/>
      <c r="C568" s="9"/>
      <c r="D568" s="9"/>
      <c r="E568" s="37"/>
      <c r="F568" s="37"/>
      <c r="G568" s="257"/>
      <c r="H568" s="112"/>
      <c r="I568" s="112"/>
      <c r="J568" s="112"/>
      <c r="K568" s="112"/>
      <c r="L568" s="112"/>
      <c r="M568" s="9"/>
      <c r="N568" s="9"/>
      <c r="O568" s="9"/>
      <c r="P568" s="9"/>
      <c r="Q568" s="9"/>
      <c r="R568" s="46"/>
      <c r="S568" s="46"/>
      <c r="T568" s="46"/>
      <c r="U568" s="46"/>
      <c r="V568" s="46"/>
      <c r="W568" s="46"/>
      <c r="X568" s="46"/>
      <c r="Y568" s="46"/>
    </row>
    <row r="569" spans="1:25">
      <c r="A569" s="9"/>
      <c r="B569" s="9"/>
      <c r="C569" s="9"/>
      <c r="D569" s="9"/>
      <c r="E569" s="37"/>
      <c r="F569" s="37"/>
      <c r="G569" s="257"/>
      <c r="H569" s="112"/>
      <c r="I569" s="112"/>
      <c r="J569" s="112"/>
      <c r="K569" s="112"/>
      <c r="L569" s="112"/>
      <c r="M569" s="9"/>
      <c r="N569" s="9"/>
      <c r="O569" s="9"/>
      <c r="P569" s="9"/>
      <c r="Q569" s="9"/>
      <c r="R569" s="46"/>
      <c r="S569" s="46"/>
      <c r="T569" s="46"/>
      <c r="U569" s="46"/>
      <c r="V569" s="46"/>
      <c r="W569" s="46"/>
      <c r="X569" s="46"/>
      <c r="Y569" s="46"/>
    </row>
    <row r="570" spans="1:25">
      <c r="A570" s="9"/>
      <c r="B570" s="9"/>
      <c r="C570" s="9"/>
      <c r="D570" s="9"/>
      <c r="E570" s="37"/>
      <c r="F570" s="37"/>
      <c r="G570" s="257"/>
      <c r="H570" s="112"/>
      <c r="I570" s="112"/>
      <c r="J570" s="112"/>
      <c r="K570" s="112"/>
      <c r="L570" s="112"/>
      <c r="M570" s="9"/>
      <c r="N570" s="9"/>
      <c r="O570" s="9"/>
      <c r="P570" s="9"/>
      <c r="Q570" s="9"/>
      <c r="R570" s="46"/>
      <c r="S570" s="46"/>
      <c r="T570" s="46"/>
      <c r="U570" s="46"/>
      <c r="V570" s="46"/>
      <c r="W570" s="46"/>
      <c r="X570" s="46"/>
      <c r="Y570" s="46"/>
    </row>
    <row r="571" spans="1:25">
      <c r="A571" s="9"/>
      <c r="B571" s="9"/>
      <c r="C571" s="9"/>
      <c r="D571" s="9"/>
      <c r="E571" s="37"/>
      <c r="F571" s="37"/>
      <c r="G571" s="257"/>
      <c r="H571" s="112"/>
      <c r="I571" s="112"/>
      <c r="J571" s="112"/>
      <c r="K571" s="112"/>
      <c r="L571" s="112"/>
      <c r="M571" s="9"/>
      <c r="N571" s="9"/>
      <c r="O571" s="9"/>
      <c r="P571" s="9"/>
      <c r="Q571" s="9"/>
      <c r="R571" s="46"/>
      <c r="S571" s="46"/>
      <c r="T571" s="46"/>
      <c r="U571" s="46"/>
      <c r="V571" s="46"/>
      <c r="W571" s="46"/>
      <c r="X571" s="46"/>
      <c r="Y571" s="46"/>
    </row>
    <row r="572" spans="1:25">
      <c r="A572" s="9"/>
      <c r="B572" s="9"/>
      <c r="C572" s="9"/>
      <c r="D572" s="9"/>
      <c r="E572" s="37"/>
      <c r="F572" s="37"/>
      <c r="G572" s="257"/>
      <c r="H572" s="112"/>
      <c r="I572" s="112"/>
      <c r="J572" s="112"/>
      <c r="K572" s="112"/>
      <c r="L572" s="112"/>
      <c r="M572" s="9"/>
      <c r="N572" s="9"/>
      <c r="O572" s="9"/>
      <c r="P572" s="9"/>
      <c r="Q572" s="9"/>
      <c r="R572" s="46"/>
      <c r="S572" s="46"/>
      <c r="T572" s="46"/>
      <c r="U572" s="46"/>
      <c r="V572" s="46"/>
      <c r="W572" s="46"/>
      <c r="X572" s="46"/>
      <c r="Y572" s="46"/>
    </row>
    <row r="573" spans="1:25">
      <c r="A573" s="9"/>
      <c r="B573" s="9"/>
      <c r="C573" s="9"/>
      <c r="D573" s="9"/>
      <c r="E573" s="37"/>
      <c r="F573" s="37"/>
      <c r="G573" s="257"/>
      <c r="H573" s="112"/>
      <c r="I573" s="112"/>
      <c r="J573" s="112"/>
      <c r="K573" s="112"/>
      <c r="L573" s="112"/>
      <c r="M573" s="9"/>
      <c r="N573" s="9"/>
      <c r="O573" s="9"/>
      <c r="P573" s="9"/>
      <c r="Q573" s="9"/>
      <c r="R573" s="46"/>
      <c r="S573" s="46"/>
      <c r="T573" s="46"/>
      <c r="U573" s="46"/>
      <c r="V573" s="46"/>
      <c r="W573" s="46"/>
      <c r="X573" s="46"/>
      <c r="Y573" s="46"/>
    </row>
    <row r="574" spans="1:25">
      <c r="A574" s="9"/>
      <c r="B574" s="9"/>
      <c r="C574" s="9"/>
      <c r="D574" s="9"/>
      <c r="E574" s="37"/>
      <c r="F574" s="37"/>
      <c r="G574" s="257"/>
      <c r="H574" s="112"/>
      <c r="I574" s="112"/>
      <c r="J574" s="112"/>
      <c r="K574" s="112"/>
      <c r="L574" s="112"/>
      <c r="M574" s="9"/>
      <c r="N574" s="9"/>
      <c r="O574" s="9"/>
      <c r="P574" s="9"/>
      <c r="Q574" s="9"/>
      <c r="R574" s="46"/>
      <c r="S574" s="46"/>
      <c r="T574" s="46"/>
      <c r="U574" s="46"/>
      <c r="V574" s="46"/>
      <c r="W574" s="46"/>
      <c r="X574" s="46"/>
      <c r="Y574" s="46"/>
    </row>
    <row r="575" spans="1:25">
      <c r="A575" s="9"/>
      <c r="B575" s="9"/>
      <c r="C575" s="9"/>
      <c r="D575" s="9"/>
      <c r="E575" s="37"/>
      <c r="F575" s="37"/>
      <c r="G575" s="257"/>
      <c r="H575" s="112"/>
      <c r="I575" s="112"/>
      <c r="J575" s="112"/>
      <c r="K575" s="112"/>
      <c r="L575" s="112"/>
      <c r="M575" s="9"/>
      <c r="N575" s="9"/>
      <c r="O575" s="9"/>
      <c r="P575" s="9"/>
      <c r="Q575" s="9"/>
      <c r="R575" s="46"/>
      <c r="S575" s="46"/>
      <c r="T575" s="46"/>
      <c r="U575" s="46"/>
      <c r="V575" s="46"/>
      <c r="W575" s="46"/>
      <c r="X575" s="46"/>
      <c r="Y575" s="46"/>
    </row>
    <row r="576" spans="1:25">
      <c r="A576" s="9"/>
      <c r="B576" s="9"/>
      <c r="C576" s="9"/>
      <c r="D576" s="9"/>
      <c r="E576" s="37"/>
      <c r="F576" s="37"/>
      <c r="G576" s="257"/>
      <c r="H576" s="112"/>
      <c r="I576" s="112"/>
      <c r="J576" s="112"/>
      <c r="K576" s="112"/>
      <c r="L576" s="112"/>
      <c r="M576" s="9"/>
      <c r="N576" s="9"/>
      <c r="O576" s="9"/>
      <c r="P576" s="9"/>
      <c r="Q576" s="9"/>
      <c r="R576" s="46"/>
      <c r="S576" s="46"/>
      <c r="T576" s="46"/>
      <c r="U576" s="46"/>
      <c r="V576" s="46"/>
      <c r="W576" s="46"/>
      <c r="X576" s="46"/>
      <c r="Y576" s="46"/>
    </row>
    <row r="577" spans="1:25">
      <c r="A577" s="9"/>
      <c r="B577" s="9"/>
      <c r="C577" s="9"/>
      <c r="D577" s="9"/>
      <c r="E577" s="37"/>
      <c r="F577" s="37"/>
      <c r="G577" s="257"/>
      <c r="H577" s="112"/>
      <c r="I577" s="112"/>
      <c r="J577" s="112"/>
      <c r="K577" s="112"/>
      <c r="L577" s="112"/>
      <c r="M577" s="9"/>
      <c r="N577" s="9"/>
      <c r="O577" s="9"/>
      <c r="P577" s="9"/>
      <c r="Q577" s="9"/>
      <c r="R577" s="46"/>
      <c r="S577" s="46"/>
      <c r="T577" s="46"/>
      <c r="U577" s="46"/>
      <c r="V577" s="46"/>
      <c r="W577" s="46"/>
      <c r="X577" s="46"/>
      <c r="Y577" s="46"/>
    </row>
    <row r="578" spans="1:25">
      <c r="A578" s="9"/>
      <c r="B578" s="9"/>
      <c r="C578" s="9"/>
      <c r="D578" s="9"/>
      <c r="E578" s="37"/>
      <c r="F578" s="37"/>
      <c r="G578" s="257"/>
      <c r="H578" s="112"/>
      <c r="I578" s="112"/>
      <c r="J578" s="112"/>
      <c r="K578" s="112"/>
      <c r="L578" s="112"/>
      <c r="M578" s="9"/>
      <c r="N578" s="9"/>
      <c r="O578" s="9"/>
      <c r="P578" s="9"/>
      <c r="Q578" s="9"/>
      <c r="R578" s="46"/>
      <c r="S578" s="46"/>
      <c r="T578" s="46"/>
      <c r="U578" s="46"/>
      <c r="V578" s="46"/>
      <c r="W578" s="46"/>
      <c r="X578" s="46"/>
      <c r="Y578" s="46"/>
    </row>
    <row r="579" spans="1:25">
      <c r="A579" s="9"/>
      <c r="B579" s="9"/>
      <c r="C579" s="9"/>
      <c r="D579" s="9"/>
      <c r="E579" s="37"/>
      <c r="F579" s="37"/>
      <c r="G579" s="257"/>
      <c r="H579" s="112"/>
      <c r="I579" s="112"/>
      <c r="J579" s="112"/>
      <c r="K579" s="112"/>
      <c r="L579" s="112"/>
      <c r="M579" s="9"/>
      <c r="N579" s="9"/>
      <c r="O579" s="9"/>
      <c r="P579" s="9"/>
      <c r="Q579" s="9"/>
      <c r="R579" s="46"/>
      <c r="S579" s="46"/>
      <c r="T579" s="46"/>
      <c r="U579" s="46"/>
      <c r="V579" s="46"/>
      <c r="W579" s="46"/>
      <c r="X579" s="46"/>
      <c r="Y579" s="46"/>
    </row>
    <row r="580" spans="1:25">
      <c r="A580" s="9"/>
      <c r="B580" s="9"/>
      <c r="C580" s="9"/>
      <c r="D580" s="9"/>
      <c r="E580" s="37"/>
      <c r="F580" s="37"/>
      <c r="G580" s="257"/>
      <c r="H580" s="112"/>
      <c r="I580" s="112"/>
      <c r="J580" s="112"/>
      <c r="K580" s="112"/>
      <c r="L580" s="112"/>
      <c r="M580" s="9"/>
      <c r="N580" s="9"/>
      <c r="O580" s="9"/>
      <c r="P580" s="9"/>
      <c r="Q580" s="9"/>
      <c r="R580" s="46"/>
      <c r="S580" s="46"/>
      <c r="T580" s="46"/>
      <c r="U580" s="46"/>
      <c r="V580" s="46"/>
      <c r="W580" s="46"/>
      <c r="X580" s="46"/>
      <c r="Y580" s="46"/>
    </row>
    <row r="581" spans="1:25">
      <c r="A581" s="9"/>
      <c r="B581" s="9"/>
      <c r="C581" s="9"/>
      <c r="D581" s="9"/>
      <c r="E581" s="37"/>
      <c r="F581" s="37"/>
      <c r="G581" s="257"/>
      <c r="H581" s="112"/>
      <c r="I581" s="112"/>
      <c r="J581" s="112"/>
      <c r="K581" s="112"/>
      <c r="L581" s="112"/>
      <c r="M581" s="9"/>
      <c r="N581" s="9"/>
      <c r="O581" s="9"/>
      <c r="P581" s="9"/>
      <c r="Q581" s="9"/>
      <c r="R581" s="46"/>
      <c r="S581" s="46"/>
      <c r="T581" s="46"/>
      <c r="U581" s="46"/>
      <c r="V581" s="46"/>
      <c r="W581" s="46"/>
      <c r="X581" s="46"/>
      <c r="Y581" s="46"/>
    </row>
    <row r="582" spans="1:25">
      <c r="A582" s="9"/>
      <c r="B582" s="9"/>
      <c r="C582" s="9"/>
      <c r="D582" s="9"/>
      <c r="E582" s="37"/>
      <c r="F582" s="37"/>
      <c r="G582" s="257"/>
      <c r="H582" s="112"/>
      <c r="I582" s="112"/>
      <c r="J582" s="112"/>
      <c r="K582" s="112"/>
      <c r="L582" s="112"/>
      <c r="M582" s="9"/>
      <c r="N582" s="9"/>
      <c r="O582" s="9"/>
      <c r="P582" s="9"/>
      <c r="Q582" s="9"/>
      <c r="R582" s="46"/>
      <c r="S582" s="46"/>
      <c r="T582" s="46"/>
      <c r="U582" s="46"/>
      <c r="V582" s="46"/>
      <c r="W582" s="46"/>
      <c r="X582" s="46"/>
      <c r="Y582" s="46"/>
    </row>
    <row r="583" spans="1:25">
      <c r="A583" s="9"/>
      <c r="B583" s="9"/>
      <c r="C583" s="9"/>
      <c r="D583" s="9"/>
      <c r="E583" s="37"/>
      <c r="F583" s="37"/>
      <c r="G583" s="257"/>
      <c r="H583" s="112"/>
      <c r="I583" s="112"/>
      <c r="J583" s="112"/>
      <c r="K583" s="112"/>
      <c r="L583" s="112"/>
      <c r="M583" s="9"/>
      <c r="N583" s="9"/>
      <c r="O583" s="9"/>
      <c r="P583" s="9"/>
      <c r="Q583" s="9"/>
      <c r="R583" s="46"/>
      <c r="S583" s="46"/>
      <c r="T583" s="46"/>
      <c r="U583" s="46"/>
      <c r="V583" s="46"/>
      <c r="W583" s="46"/>
      <c r="X583" s="46"/>
      <c r="Y583" s="46"/>
    </row>
    <row r="584" spans="1:25">
      <c r="A584" s="9"/>
      <c r="B584" s="9"/>
      <c r="C584" s="9"/>
      <c r="D584" s="9"/>
      <c r="E584" s="37"/>
      <c r="F584" s="37"/>
      <c r="G584" s="257"/>
      <c r="H584" s="112"/>
      <c r="I584" s="112"/>
      <c r="J584" s="112"/>
      <c r="K584" s="112"/>
      <c r="L584" s="112"/>
      <c r="M584" s="9"/>
      <c r="N584" s="9"/>
      <c r="O584" s="9"/>
      <c r="P584" s="9"/>
      <c r="Q584" s="9"/>
      <c r="R584" s="46"/>
      <c r="S584" s="46"/>
      <c r="T584" s="46"/>
      <c r="U584" s="46"/>
      <c r="V584" s="46"/>
      <c r="W584" s="46"/>
      <c r="X584" s="46"/>
      <c r="Y584" s="46"/>
    </row>
    <row r="585" spans="1:25">
      <c r="A585" s="9"/>
      <c r="B585" s="9"/>
      <c r="C585" s="9"/>
      <c r="D585" s="9"/>
      <c r="E585" s="37"/>
      <c r="F585" s="37"/>
      <c r="G585" s="257"/>
      <c r="H585" s="112"/>
      <c r="I585" s="112"/>
      <c r="J585" s="112"/>
      <c r="K585" s="112"/>
      <c r="L585" s="112"/>
      <c r="M585" s="9"/>
      <c r="N585" s="9"/>
      <c r="O585" s="9"/>
      <c r="P585" s="9"/>
      <c r="Q585" s="9"/>
      <c r="R585" s="46"/>
      <c r="S585" s="46"/>
      <c r="T585" s="46"/>
      <c r="U585" s="46"/>
      <c r="V585" s="46"/>
      <c r="W585" s="46"/>
      <c r="X585" s="46"/>
      <c r="Y585" s="46"/>
    </row>
    <row r="586" spans="1:25">
      <c r="A586" s="9"/>
      <c r="B586" s="9"/>
      <c r="C586" s="9"/>
      <c r="D586" s="9"/>
      <c r="E586" s="37"/>
      <c r="F586" s="37"/>
      <c r="G586" s="257"/>
      <c r="H586" s="112"/>
      <c r="I586" s="112"/>
      <c r="J586" s="112"/>
      <c r="K586" s="112"/>
      <c r="L586" s="112"/>
      <c r="M586" s="9"/>
      <c r="N586" s="9"/>
      <c r="O586" s="9"/>
      <c r="P586" s="9"/>
      <c r="Q586" s="9"/>
      <c r="R586" s="46"/>
      <c r="S586" s="46"/>
      <c r="T586" s="46"/>
      <c r="U586" s="46"/>
      <c r="V586" s="46"/>
      <c r="W586" s="46"/>
      <c r="X586" s="46"/>
      <c r="Y586" s="46"/>
    </row>
    <row r="587" spans="1:25">
      <c r="A587" s="9"/>
      <c r="B587" s="9"/>
      <c r="C587" s="9"/>
      <c r="D587" s="9"/>
      <c r="E587" s="37"/>
      <c r="F587" s="37"/>
      <c r="G587" s="257"/>
      <c r="H587" s="112"/>
      <c r="I587" s="112"/>
      <c r="J587" s="112"/>
      <c r="K587" s="112"/>
      <c r="L587" s="112"/>
      <c r="M587" s="9"/>
      <c r="N587" s="9"/>
      <c r="O587" s="9"/>
      <c r="P587" s="9"/>
      <c r="Q587" s="9"/>
      <c r="R587" s="46"/>
      <c r="S587" s="46"/>
      <c r="T587" s="46"/>
      <c r="U587" s="46"/>
      <c r="V587" s="46"/>
      <c r="W587" s="46"/>
      <c r="X587" s="46"/>
      <c r="Y587" s="46"/>
    </row>
    <row r="588" spans="1:25">
      <c r="A588" s="9"/>
      <c r="B588" s="9"/>
      <c r="C588" s="9"/>
      <c r="D588" s="9"/>
      <c r="E588" s="37"/>
      <c r="F588" s="37"/>
      <c r="G588" s="257"/>
      <c r="H588" s="112"/>
      <c r="I588" s="112"/>
      <c r="J588" s="112"/>
      <c r="K588" s="112"/>
      <c r="L588" s="112"/>
      <c r="M588" s="9"/>
      <c r="N588" s="9"/>
      <c r="O588" s="9"/>
      <c r="P588" s="9"/>
      <c r="Q588" s="9"/>
      <c r="R588" s="46"/>
      <c r="S588" s="46"/>
      <c r="T588" s="46"/>
      <c r="U588" s="46"/>
      <c r="V588" s="46"/>
      <c r="W588" s="46"/>
      <c r="X588" s="46"/>
      <c r="Y588" s="46"/>
    </row>
    <row r="589" spans="1:25">
      <c r="A589" s="9"/>
      <c r="B589" s="9"/>
      <c r="C589" s="9"/>
      <c r="D589" s="9"/>
      <c r="E589" s="37"/>
      <c r="F589" s="37"/>
      <c r="G589" s="257"/>
      <c r="H589" s="112"/>
      <c r="I589" s="112"/>
      <c r="J589" s="112"/>
      <c r="K589" s="112"/>
      <c r="L589" s="112"/>
      <c r="M589" s="9"/>
      <c r="N589" s="9"/>
      <c r="O589" s="9"/>
      <c r="P589" s="9"/>
      <c r="Q589" s="9"/>
      <c r="R589" s="46"/>
      <c r="S589" s="46"/>
      <c r="T589" s="46"/>
      <c r="U589" s="46"/>
      <c r="V589" s="46"/>
      <c r="W589" s="46"/>
      <c r="X589" s="46"/>
      <c r="Y589" s="46"/>
    </row>
    <row r="590" spans="1:25">
      <c r="A590" s="9"/>
      <c r="B590" s="9"/>
      <c r="C590" s="9"/>
      <c r="D590" s="9"/>
      <c r="E590" s="37"/>
      <c r="F590" s="37"/>
      <c r="G590" s="257"/>
      <c r="H590" s="112"/>
      <c r="I590" s="112"/>
      <c r="J590" s="112"/>
      <c r="K590" s="112"/>
      <c r="L590" s="112"/>
      <c r="M590" s="9"/>
      <c r="N590" s="9"/>
      <c r="O590" s="9"/>
      <c r="P590" s="9"/>
      <c r="Q590" s="9"/>
      <c r="R590" s="46"/>
      <c r="S590" s="46"/>
      <c r="T590" s="46"/>
      <c r="U590" s="46"/>
      <c r="V590" s="46"/>
      <c r="W590" s="46"/>
      <c r="X590" s="46"/>
      <c r="Y590" s="46"/>
    </row>
    <row r="591" spans="1:25">
      <c r="A591" s="9"/>
      <c r="B591" s="9"/>
      <c r="C591" s="9"/>
      <c r="D591" s="9"/>
      <c r="E591" s="37"/>
      <c r="F591" s="37"/>
      <c r="G591" s="257"/>
      <c r="H591" s="112"/>
      <c r="I591" s="112"/>
      <c r="J591" s="112"/>
      <c r="K591" s="112"/>
      <c r="L591" s="112"/>
      <c r="M591" s="9"/>
      <c r="N591" s="9"/>
      <c r="O591" s="9"/>
      <c r="P591" s="9"/>
      <c r="Q591" s="9"/>
      <c r="R591" s="46"/>
      <c r="S591" s="46"/>
      <c r="T591" s="46"/>
      <c r="U591" s="46"/>
      <c r="V591" s="46"/>
      <c r="W591" s="46"/>
      <c r="X591" s="46"/>
      <c r="Y591" s="46"/>
    </row>
    <row r="592" spans="1:25">
      <c r="A592" s="9"/>
      <c r="B592" s="9"/>
      <c r="C592" s="9"/>
      <c r="D592" s="9"/>
      <c r="E592" s="37"/>
      <c r="F592" s="37"/>
      <c r="G592" s="257"/>
      <c r="H592" s="112"/>
      <c r="I592" s="112"/>
      <c r="J592" s="112"/>
      <c r="K592" s="112"/>
      <c r="L592" s="112"/>
      <c r="M592" s="9"/>
      <c r="N592" s="9"/>
      <c r="O592" s="9"/>
      <c r="P592" s="9"/>
      <c r="Q592" s="9"/>
      <c r="R592" s="46"/>
      <c r="S592" s="46"/>
      <c r="T592" s="46"/>
      <c r="U592" s="46"/>
      <c r="V592" s="46"/>
      <c r="W592" s="46"/>
      <c r="X592" s="46"/>
      <c r="Y592" s="46"/>
    </row>
    <row r="593" spans="1:25">
      <c r="A593" s="9"/>
      <c r="B593" s="9"/>
      <c r="C593" s="9"/>
      <c r="D593" s="9"/>
      <c r="E593" s="37"/>
      <c r="F593" s="37"/>
      <c r="G593" s="257"/>
      <c r="H593" s="112"/>
      <c r="I593" s="112"/>
      <c r="J593" s="112"/>
      <c r="K593" s="112"/>
      <c r="L593" s="112"/>
      <c r="M593" s="9"/>
      <c r="N593" s="9"/>
      <c r="O593" s="9"/>
      <c r="P593" s="9"/>
      <c r="Q593" s="9"/>
      <c r="R593" s="46"/>
      <c r="S593" s="46"/>
      <c r="T593" s="46"/>
      <c r="U593" s="46"/>
      <c r="V593" s="46"/>
      <c r="W593" s="46"/>
      <c r="X593" s="46"/>
      <c r="Y593" s="46"/>
    </row>
    <row r="594" spans="1:25">
      <c r="A594" s="9"/>
      <c r="B594" s="9"/>
      <c r="C594" s="9"/>
      <c r="D594" s="9"/>
      <c r="E594" s="37"/>
      <c r="F594" s="37"/>
      <c r="G594" s="257"/>
      <c r="H594" s="112"/>
      <c r="I594" s="112"/>
      <c r="J594" s="112"/>
      <c r="K594" s="112"/>
      <c r="L594" s="112"/>
      <c r="M594" s="9"/>
      <c r="N594" s="9"/>
      <c r="O594" s="9"/>
      <c r="P594" s="9"/>
      <c r="Q594" s="9"/>
      <c r="R594" s="46"/>
      <c r="S594" s="46"/>
      <c r="T594" s="46"/>
      <c r="U594" s="46"/>
      <c r="V594" s="46"/>
      <c r="W594" s="46"/>
      <c r="X594" s="46"/>
      <c r="Y594" s="46"/>
    </row>
    <row r="595" spans="1:25">
      <c r="A595" s="9"/>
      <c r="B595" s="9"/>
      <c r="C595" s="9"/>
      <c r="D595" s="9"/>
      <c r="E595" s="37"/>
      <c r="F595" s="37"/>
      <c r="G595" s="257"/>
      <c r="H595" s="112"/>
      <c r="I595" s="112"/>
      <c r="J595" s="112"/>
      <c r="K595" s="112"/>
      <c r="L595" s="112"/>
      <c r="M595" s="9"/>
      <c r="N595" s="9"/>
      <c r="O595" s="9"/>
      <c r="P595" s="9"/>
      <c r="Q595" s="9"/>
      <c r="R595" s="46"/>
      <c r="S595" s="46"/>
      <c r="T595" s="46"/>
      <c r="U595" s="46"/>
      <c r="V595" s="46"/>
      <c r="W595" s="46"/>
      <c r="X595" s="46"/>
      <c r="Y595" s="46"/>
    </row>
    <row r="596" spans="1:25">
      <c r="A596" s="9"/>
      <c r="B596" s="9"/>
      <c r="C596" s="9"/>
      <c r="D596" s="9"/>
      <c r="E596" s="37"/>
      <c r="F596" s="37"/>
      <c r="G596" s="257"/>
      <c r="H596" s="112"/>
      <c r="I596" s="112"/>
      <c r="J596" s="112"/>
      <c r="K596" s="112"/>
      <c r="L596" s="112"/>
      <c r="M596" s="9"/>
      <c r="N596" s="9"/>
      <c r="O596" s="9"/>
      <c r="P596" s="9"/>
      <c r="Q596" s="9"/>
      <c r="R596" s="46"/>
      <c r="S596" s="46"/>
      <c r="T596" s="46"/>
      <c r="U596" s="46"/>
      <c r="V596" s="46"/>
      <c r="W596" s="46"/>
      <c r="X596" s="46"/>
      <c r="Y596" s="46"/>
    </row>
    <row r="597" spans="1:25">
      <c r="A597" s="9"/>
      <c r="B597" s="9"/>
      <c r="C597" s="9"/>
      <c r="D597" s="9"/>
      <c r="E597" s="37"/>
      <c r="F597" s="37"/>
      <c r="G597" s="257"/>
      <c r="H597" s="112"/>
      <c r="I597" s="112"/>
      <c r="J597" s="112"/>
      <c r="K597" s="112"/>
      <c r="L597" s="112"/>
      <c r="M597" s="9"/>
      <c r="N597" s="9"/>
      <c r="O597" s="9"/>
      <c r="P597" s="9"/>
      <c r="Q597" s="9"/>
      <c r="R597" s="46"/>
      <c r="S597" s="46"/>
      <c r="T597" s="46"/>
      <c r="U597" s="46"/>
      <c r="V597" s="46"/>
      <c r="W597" s="46"/>
      <c r="X597" s="46"/>
      <c r="Y597" s="46"/>
    </row>
    <row r="598" spans="1:25">
      <c r="A598" s="9"/>
      <c r="B598" s="9"/>
      <c r="C598" s="9"/>
      <c r="D598" s="9"/>
      <c r="E598" s="37"/>
      <c r="F598" s="37"/>
      <c r="G598" s="257"/>
      <c r="H598" s="112"/>
      <c r="I598" s="112"/>
      <c r="J598" s="112"/>
      <c r="K598" s="112"/>
      <c r="L598" s="112"/>
      <c r="M598" s="9"/>
      <c r="N598" s="9"/>
      <c r="O598" s="9"/>
      <c r="P598" s="9"/>
      <c r="Q598" s="9"/>
      <c r="R598" s="46"/>
      <c r="S598" s="46"/>
      <c r="T598" s="46"/>
      <c r="U598" s="46"/>
      <c r="V598" s="46"/>
      <c r="W598" s="46"/>
      <c r="X598" s="46"/>
      <c r="Y598" s="46"/>
    </row>
    <row r="599" spans="1:25">
      <c r="A599" s="9"/>
      <c r="B599" s="9"/>
      <c r="C599" s="9"/>
      <c r="D599" s="9"/>
      <c r="E599" s="37"/>
      <c r="F599" s="37"/>
      <c r="G599" s="257"/>
      <c r="H599" s="112"/>
      <c r="I599" s="112"/>
      <c r="J599" s="112"/>
      <c r="K599" s="112"/>
      <c r="L599" s="112"/>
      <c r="M599" s="9"/>
      <c r="N599" s="9"/>
      <c r="O599" s="9"/>
      <c r="P599" s="9"/>
      <c r="Q599" s="9"/>
      <c r="R599" s="46"/>
      <c r="S599" s="46"/>
      <c r="T599" s="46"/>
      <c r="U599" s="46"/>
      <c r="V599" s="46"/>
      <c r="W599" s="46"/>
      <c r="X599" s="46"/>
      <c r="Y599" s="46"/>
    </row>
    <row r="600" spans="1:25">
      <c r="A600" s="9"/>
      <c r="B600" s="9"/>
      <c r="C600" s="9"/>
      <c r="D600" s="9"/>
      <c r="E600" s="37"/>
      <c r="F600" s="37"/>
      <c r="G600" s="257"/>
      <c r="H600" s="112"/>
      <c r="I600" s="112"/>
      <c r="J600" s="112"/>
      <c r="K600" s="112"/>
      <c r="L600" s="112"/>
      <c r="M600" s="9"/>
      <c r="N600" s="9"/>
      <c r="O600" s="9"/>
      <c r="P600" s="9"/>
      <c r="Q600" s="9"/>
      <c r="R600" s="46"/>
      <c r="S600" s="46"/>
      <c r="T600" s="46"/>
      <c r="U600" s="46"/>
      <c r="V600" s="46"/>
      <c r="W600" s="46"/>
      <c r="X600" s="46"/>
      <c r="Y600" s="46"/>
    </row>
    <row r="601" spans="1:25">
      <c r="A601" s="9"/>
      <c r="B601" s="9"/>
      <c r="C601" s="9"/>
      <c r="D601" s="9"/>
      <c r="E601" s="37"/>
      <c r="F601" s="37"/>
      <c r="G601" s="257"/>
      <c r="H601" s="112"/>
      <c r="I601" s="112"/>
      <c r="J601" s="112"/>
      <c r="K601" s="112"/>
      <c r="L601" s="112"/>
      <c r="M601" s="9"/>
      <c r="N601" s="9"/>
      <c r="O601" s="9"/>
      <c r="P601" s="9"/>
      <c r="Q601" s="9"/>
      <c r="R601" s="46"/>
      <c r="S601" s="46"/>
      <c r="T601" s="46"/>
      <c r="U601" s="46"/>
      <c r="V601" s="46"/>
      <c r="W601" s="46"/>
      <c r="X601" s="46"/>
      <c r="Y601" s="46"/>
    </row>
    <row r="602" spans="1:25">
      <c r="A602" s="9"/>
      <c r="B602" s="9"/>
      <c r="C602" s="9"/>
      <c r="D602" s="9"/>
      <c r="E602" s="37"/>
      <c r="F602" s="37"/>
      <c r="G602" s="257"/>
      <c r="H602" s="112"/>
      <c r="I602" s="112"/>
      <c r="J602" s="112"/>
      <c r="K602" s="112"/>
      <c r="L602" s="112"/>
      <c r="M602" s="9"/>
      <c r="N602" s="9"/>
      <c r="O602" s="9"/>
      <c r="P602" s="9"/>
      <c r="Q602" s="9"/>
      <c r="R602" s="46"/>
      <c r="S602" s="46"/>
      <c r="T602" s="46"/>
      <c r="U602" s="46"/>
      <c r="V602" s="46"/>
      <c r="W602" s="46"/>
      <c r="X602" s="46"/>
      <c r="Y602" s="46"/>
    </row>
    <row r="603" spans="1:25">
      <c r="A603" s="9"/>
      <c r="B603" s="9"/>
      <c r="C603" s="9"/>
      <c r="D603" s="9"/>
      <c r="E603" s="37"/>
      <c r="F603" s="37"/>
      <c r="G603" s="257"/>
      <c r="H603" s="112"/>
      <c r="I603" s="112"/>
      <c r="J603" s="112"/>
      <c r="K603" s="112"/>
      <c r="L603" s="112"/>
      <c r="M603" s="9"/>
      <c r="N603" s="9"/>
      <c r="O603" s="9"/>
      <c r="P603" s="9"/>
      <c r="Q603" s="9"/>
      <c r="R603" s="46"/>
      <c r="S603" s="46"/>
      <c r="T603" s="46"/>
      <c r="U603" s="46"/>
      <c r="V603" s="46"/>
      <c r="W603" s="46"/>
      <c r="X603" s="46"/>
      <c r="Y603" s="46"/>
    </row>
    <row r="604" spans="1:25">
      <c r="A604" s="9"/>
      <c r="B604" s="9"/>
      <c r="C604" s="9"/>
      <c r="D604" s="9"/>
      <c r="E604" s="37"/>
      <c r="F604" s="37"/>
      <c r="G604" s="257"/>
      <c r="H604" s="112"/>
      <c r="I604" s="112"/>
      <c r="J604" s="112"/>
      <c r="K604" s="112"/>
      <c r="L604" s="112"/>
      <c r="M604" s="9"/>
      <c r="N604" s="9"/>
      <c r="O604" s="9"/>
      <c r="P604" s="9"/>
      <c r="Q604" s="9"/>
      <c r="R604" s="46"/>
      <c r="S604" s="46"/>
      <c r="T604" s="46"/>
      <c r="U604" s="46"/>
      <c r="V604" s="46"/>
      <c r="W604" s="46"/>
      <c r="X604" s="46"/>
      <c r="Y604" s="46"/>
    </row>
    <row r="605" spans="1:25">
      <c r="A605" s="9"/>
      <c r="B605" s="9"/>
      <c r="C605" s="9"/>
      <c r="D605" s="9"/>
      <c r="E605" s="37"/>
      <c r="F605" s="37"/>
      <c r="G605" s="257"/>
      <c r="H605" s="112"/>
      <c r="I605" s="112"/>
      <c r="J605" s="112"/>
      <c r="K605" s="112"/>
      <c r="L605" s="112"/>
      <c r="M605" s="9"/>
      <c r="N605" s="9"/>
      <c r="O605" s="9"/>
      <c r="P605" s="9"/>
      <c r="Q605" s="9"/>
      <c r="R605" s="46"/>
      <c r="S605" s="46"/>
      <c r="T605" s="46"/>
      <c r="U605" s="46"/>
      <c r="V605" s="46"/>
      <c r="W605" s="46"/>
      <c r="X605" s="46"/>
      <c r="Y605" s="46"/>
    </row>
    <row r="606" spans="1:25">
      <c r="A606" s="9"/>
      <c r="B606" s="9"/>
      <c r="C606" s="9"/>
      <c r="D606" s="9"/>
      <c r="E606" s="37"/>
      <c r="F606" s="37"/>
      <c r="G606" s="257"/>
      <c r="H606" s="112"/>
      <c r="I606" s="112"/>
      <c r="J606" s="112"/>
      <c r="K606" s="112"/>
      <c r="L606" s="112"/>
      <c r="M606" s="9"/>
      <c r="N606" s="9"/>
      <c r="O606" s="9"/>
      <c r="P606" s="9"/>
      <c r="Q606" s="9"/>
      <c r="R606" s="46"/>
      <c r="S606" s="46"/>
      <c r="T606" s="46"/>
      <c r="U606" s="46"/>
      <c r="V606" s="46"/>
      <c r="W606" s="46"/>
      <c r="X606" s="46"/>
      <c r="Y606" s="46"/>
    </row>
    <row r="607" spans="1:25">
      <c r="A607" s="9"/>
      <c r="B607" s="9"/>
      <c r="C607" s="9"/>
      <c r="D607" s="9"/>
      <c r="E607" s="37"/>
      <c r="F607" s="37"/>
      <c r="G607" s="257"/>
      <c r="H607" s="112"/>
      <c r="I607" s="112"/>
      <c r="J607" s="112"/>
      <c r="K607" s="112"/>
      <c r="L607" s="112"/>
      <c r="M607" s="9"/>
      <c r="N607" s="9"/>
      <c r="O607" s="9"/>
      <c r="P607" s="9"/>
      <c r="Q607" s="9"/>
      <c r="R607" s="46"/>
      <c r="S607" s="46"/>
      <c r="T607" s="46"/>
      <c r="U607" s="46"/>
      <c r="V607" s="46"/>
      <c r="W607" s="46"/>
      <c r="X607" s="46"/>
      <c r="Y607" s="46"/>
    </row>
    <row r="608" spans="1:25">
      <c r="A608" s="9"/>
      <c r="B608" s="9"/>
      <c r="C608" s="9"/>
      <c r="D608" s="9"/>
      <c r="E608" s="37"/>
      <c r="F608" s="37"/>
      <c r="G608" s="257"/>
      <c r="H608" s="112"/>
      <c r="I608" s="112"/>
      <c r="J608" s="112"/>
      <c r="K608" s="112"/>
      <c r="L608" s="112"/>
      <c r="M608" s="9"/>
      <c r="N608" s="9"/>
      <c r="O608" s="9"/>
      <c r="P608" s="9"/>
      <c r="Q608" s="9"/>
      <c r="R608" s="46"/>
      <c r="S608" s="46"/>
      <c r="T608" s="46"/>
      <c r="U608" s="46"/>
      <c r="V608" s="46"/>
      <c r="W608" s="46"/>
      <c r="X608" s="46"/>
      <c r="Y608" s="46"/>
    </row>
    <row r="609" spans="1:25">
      <c r="A609" s="9"/>
      <c r="B609" s="9"/>
      <c r="C609" s="9"/>
      <c r="D609" s="9"/>
      <c r="E609" s="37"/>
      <c r="F609" s="37"/>
      <c r="G609" s="257"/>
      <c r="H609" s="112"/>
      <c r="I609" s="112"/>
      <c r="J609" s="112"/>
      <c r="K609" s="112"/>
      <c r="L609" s="112"/>
      <c r="M609" s="9"/>
      <c r="N609" s="9"/>
      <c r="O609" s="9"/>
      <c r="P609" s="9"/>
      <c r="Q609" s="9"/>
      <c r="R609" s="46"/>
      <c r="S609" s="46"/>
      <c r="T609" s="46"/>
      <c r="U609" s="46"/>
      <c r="V609" s="46"/>
      <c r="W609" s="46"/>
      <c r="X609" s="46"/>
      <c r="Y609" s="46"/>
    </row>
    <row r="610" spans="1:25">
      <c r="A610" s="9"/>
      <c r="B610" s="9"/>
      <c r="C610" s="9"/>
      <c r="D610" s="9"/>
      <c r="E610" s="37"/>
      <c r="F610" s="37"/>
      <c r="G610" s="257"/>
      <c r="H610" s="112"/>
      <c r="I610" s="112"/>
      <c r="J610" s="112"/>
      <c r="K610" s="112"/>
      <c r="L610" s="112"/>
      <c r="M610" s="9"/>
      <c r="N610" s="9"/>
      <c r="O610" s="9"/>
      <c r="P610" s="9"/>
      <c r="Q610" s="9"/>
      <c r="R610" s="46"/>
      <c r="S610" s="46"/>
      <c r="T610" s="46"/>
      <c r="U610" s="46"/>
      <c r="V610" s="46"/>
      <c r="W610" s="46"/>
      <c r="X610" s="46"/>
      <c r="Y610" s="46"/>
    </row>
    <row r="611" spans="1:25">
      <c r="A611" s="9"/>
      <c r="B611" s="9"/>
      <c r="C611" s="9"/>
      <c r="D611" s="9"/>
      <c r="E611" s="37"/>
      <c r="F611" s="37"/>
      <c r="G611" s="257"/>
      <c r="H611" s="112"/>
      <c r="I611" s="112"/>
      <c r="J611" s="112"/>
      <c r="K611" s="112"/>
      <c r="L611" s="112"/>
      <c r="M611" s="9"/>
      <c r="N611" s="9"/>
      <c r="O611" s="9"/>
      <c r="P611" s="9"/>
      <c r="Q611" s="9"/>
      <c r="R611" s="46"/>
      <c r="S611" s="46"/>
      <c r="T611" s="46"/>
      <c r="U611" s="46"/>
      <c r="V611" s="46"/>
      <c r="W611" s="46"/>
      <c r="X611" s="46"/>
      <c r="Y611" s="46"/>
    </row>
    <row r="612" spans="1:25">
      <c r="A612" s="9"/>
      <c r="B612" s="9"/>
      <c r="C612" s="9"/>
      <c r="D612" s="9"/>
      <c r="E612" s="37"/>
      <c r="F612" s="37"/>
      <c r="G612" s="257"/>
      <c r="H612" s="112"/>
      <c r="I612" s="112"/>
      <c r="J612" s="112"/>
      <c r="K612" s="112"/>
      <c r="L612" s="112"/>
      <c r="M612" s="9"/>
      <c r="N612" s="9"/>
      <c r="O612" s="9"/>
      <c r="P612" s="9"/>
      <c r="Q612" s="9"/>
      <c r="R612" s="46"/>
      <c r="S612" s="46"/>
      <c r="T612" s="46"/>
      <c r="U612" s="46"/>
      <c r="V612" s="46"/>
      <c r="W612" s="46"/>
      <c r="X612" s="46"/>
      <c r="Y612" s="46"/>
    </row>
    <row r="613" spans="1:25">
      <c r="A613" s="9"/>
      <c r="B613" s="9"/>
      <c r="C613" s="9"/>
      <c r="D613" s="9"/>
      <c r="E613" s="37"/>
      <c r="F613" s="37"/>
      <c r="G613" s="257"/>
      <c r="H613" s="112"/>
      <c r="I613" s="112"/>
      <c r="J613" s="112"/>
      <c r="K613" s="112"/>
      <c r="L613" s="112"/>
      <c r="M613" s="9"/>
      <c r="N613" s="9"/>
      <c r="O613" s="9"/>
      <c r="P613" s="9"/>
      <c r="Q613" s="9"/>
      <c r="R613" s="46"/>
      <c r="S613" s="46"/>
      <c r="T613" s="46"/>
      <c r="U613" s="46"/>
      <c r="V613" s="46"/>
      <c r="W613" s="46"/>
      <c r="X613" s="46"/>
      <c r="Y613" s="46"/>
    </row>
    <row r="614" spans="1:25">
      <c r="A614" s="9"/>
      <c r="B614" s="9"/>
      <c r="C614" s="9"/>
      <c r="D614" s="9"/>
      <c r="E614" s="37"/>
      <c r="F614" s="37"/>
      <c r="G614" s="257"/>
      <c r="H614" s="112"/>
      <c r="I614" s="112"/>
      <c r="J614" s="112"/>
      <c r="K614" s="112"/>
      <c r="L614" s="112"/>
      <c r="M614" s="9"/>
      <c r="N614" s="9"/>
      <c r="O614" s="9"/>
      <c r="P614" s="9"/>
      <c r="Q614" s="9"/>
      <c r="R614" s="46"/>
      <c r="S614" s="46"/>
      <c r="T614" s="46"/>
      <c r="U614" s="46"/>
      <c r="V614" s="46"/>
      <c r="W614" s="46"/>
      <c r="X614" s="46"/>
      <c r="Y614" s="46"/>
    </row>
    <row r="615" spans="1:25">
      <c r="A615" s="9"/>
      <c r="B615" s="9"/>
      <c r="C615" s="9"/>
      <c r="D615" s="9"/>
      <c r="E615" s="37"/>
      <c r="F615" s="37"/>
      <c r="G615" s="257"/>
      <c r="H615" s="112"/>
      <c r="I615" s="112"/>
      <c r="J615" s="112"/>
      <c r="K615" s="112"/>
      <c r="L615" s="112"/>
      <c r="M615" s="9"/>
      <c r="N615" s="9"/>
      <c r="O615" s="9"/>
      <c r="P615" s="9"/>
      <c r="Q615" s="9"/>
      <c r="R615" s="46"/>
      <c r="S615" s="46"/>
      <c r="T615" s="46"/>
      <c r="U615" s="46"/>
      <c r="V615" s="46"/>
      <c r="W615" s="46"/>
      <c r="X615" s="46"/>
      <c r="Y615" s="46"/>
    </row>
    <row r="616" spans="1:25">
      <c r="A616" s="9"/>
      <c r="B616" s="9"/>
      <c r="C616" s="9"/>
      <c r="D616" s="9"/>
      <c r="E616" s="37"/>
      <c r="F616" s="37"/>
      <c r="G616" s="257"/>
      <c r="H616" s="112"/>
      <c r="I616" s="112"/>
      <c r="J616" s="112"/>
      <c r="K616" s="112"/>
      <c r="L616" s="112"/>
      <c r="M616" s="9"/>
      <c r="N616" s="9"/>
      <c r="O616" s="9"/>
      <c r="P616" s="9"/>
      <c r="Q616" s="9"/>
      <c r="R616" s="46"/>
      <c r="S616" s="46"/>
      <c r="T616" s="46"/>
      <c r="U616" s="46"/>
      <c r="V616" s="46"/>
      <c r="W616" s="46"/>
      <c r="X616" s="46"/>
      <c r="Y616" s="46"/>
    </row>
    <row r="617" spans="1:25">
      <c r="A617" s="9"/>
      <c r="B617" s="9"/>
      <c r="C617" s="9"/>
      <c r="D617" s="9"/>
      <c r="E617" s="37"/>
      <c r="F617" s="37"/>
      <c r="G617" s="257"/>
      <c r="H617" s="112"/>
      <c r="I617" s="112"/>
      <c r="J617" s="112"/>
      <c r="K617" s="112"/>
      <c r="L617" s="112"/>
      <c r="M617" s="9"/>
      <c r="N617" s="9"/>
      <c r="O617" s="9"/>
      <c r="P617" s="9"/>
      <c r="Q617" s="9"/>
      <c r="R617" s="46"/>
      <c r="S617" s="46"/>
      <c r="T617" s="46"/>
      <c r="U617" s="46"/>
      <c r="V617" s="46"/>
      <c r="W617" s="46"/>
      <c r="X617" s="46"/>
      <c r="Y617" s="46"/>
    </row>
    <row r="618" spans="1:25">
      <c r="A618" s="9"/>
      <c r="B618" s="9"/>
      <c r="C618" s="9"/>
      <c r="D618" s="9"/>
      <c r="E618" s="37"/>
      <c r="F618" s="37"/>
      <c r="G618" s="257"/>
      <c r="H618" s="112"/>
      <c r="I618" s="112"/>
      <c r="J618" s="112"/>
      <c r="K618" s="112"/>
      <c r="L618" s="112"/>
      <c r="M618" s="9"/>
      <c r="N618" s="9"/>
      <c r="O618" s="9"/>
      <c r="P618" s="9"/>
      <c r="Q618" s="9"/>
      <c r="R618" s="46"/>
      <c r="S618" s="46"/>
      <c r="T618" s="46"/>
      <c r="U618" s="46"/>
      <c r="V618" s="46"/>
      <c r="W618" s="46"/>
      <c r="X618" s="46"/>
      <c r="Y618" s="46"/>
    </row>
    <row r="619" spans="1:25">
      <c r="A619" s="9"/>
      <c r="B619" s="9"/>
      <c r="C619" s="9"/>
      <c r="D619" s="9"/>
      <c r="E619" s="37"/>
      <c r="F619" s="37"/>
      <c r="G619" s="257"/>
      <c r="H619" s="112"/>
      <c r="I619" s="112"/>
      <c r="J619" s="112"/>
      <c r="K619" s="112"/>
      <c r="L619" s="112"/>
      <c r="M619" s="9"/>
      <c r="N619" s="9"/>
      <c r="O619" s="9"/>
      <c r="P619" s="9"/>
      <c r="Q619" s="9"/>
      <c r="R619" s="46"/>
      <c r="S619" s="46"/>
      <c r="T619" s="46"/>
      <c r="U619" s="46"/>
      <c r="V619" s="46"/>
      <c r="W619" s="46"/>
      <c r="X619" s="46"/>
      <c r="Y619" s="46"/>
    </row>
    <row r="620" spans="1:25">
      <c r="A620" s="9"/>
      <c r="B620" s="9"/>
      <c r="C620" s="9"/>
      <c r="D620" s="9"/>
      <c r="E620" s="37"/>
      <c r="F620" s="37"/>
      <c r="G620" s="257"/>
      <c r="H620" s="112"/>
      <c r="I620" s="112"/>
      <c r="J620" s="112"/>
      <c r="K620" s="112"/>
      <c r="L620" s="112"/>
      <c r="M620" s="9"/>
      <c r="N620" s="9"/>
      <c r="O620" s="9"/>
      <c r="P620" s="9"/>
      <c r="Q620" s="9"/>
      <c r="R620" s="46"/>
      <c r="S620" s="46"/>
      <c r="T620" s="46"/>
      <c r="U620" s="46"/>
      <c r="V620" s="46"/>
      <c r="W620" s="46"/>
      <c r="X620" s="46"/>
      <c r="Y620" s="46"/>
    </row>
    <row r="621" spans="1:25">
      <c r="A621" s="9"/>
      <c r="B621" s="9"/>
      <c r="C621" s="9"/>
      <c r="D621" s="9"/>
      <c r="E621" s="37"/>
      <c r="F621" s="37"/>
      <c r="G621" s="257"/>
      <c r="H621" s="112"/>
      <c r="I621" s="112"/>
      <c r="J621" s="112"/>
      <c r="K621" s="112"/>
      <c r="L621" s="112"/>
      <c r="M621" s="9"/>
      <c r="N621" s="9"/>
      <c r="O621" s="9"/>
      <c r="P621" s="9"/>
      <c r="Q621" s="9"/>
      <c r="R621" s="46"/>
      <c r="S621" s="46"/>
      <c r="T621" s="46"/>
      <c r="U621" s="46"/>
      <c r="V621" s="46"/>
      <c r="W621" s="46"/>
      <c r="X621" s="46"/>
      <c r="Y621" s="46"/>
    </row>
    <row r="622" spans="1:25">
      <c r="A622" s="9"/>
      <c r="B622" s="9"/>
      <c r="C622" s="9"/>
      <c r="D622" s="9"/>
      <c r="E622" s="37"/>
      <c r="F622" s="37"/>
      <c r="G622" s="257"/>
      <c r="H622" s="112"/>
      <c r="I622" s="112"/>
      <c r="J622" s="112"/>
      <c r="K622" s="112"/>
      <c r="L622" s="112"/>
      <c r="M622" s="9"/>
      <c r="N622" s="9"/>
      <c r="O622" s="9"/>
      <c r="P622" s="9"/>
      <c r="Q622" s="9"/>
      <c r="R622" s="46"/>
      <c r="S622" s="46"/>
      <c r="T622" s="46"/>
      <c r="U622" s="46"/>
      <c r="V622" s="46"/>
      <c r="W622" s="46"/>
      <c r="X622" s="46"/>
      <c r="Y622" s="46"/>
    </row>
    <row r="623" spans="1:25">
      <c r="A623" s="9"/>
      <c r="B623" s="9"/>
      <c r="C623" s="9"/>
      <c r="D623" s="9"/>
      <c r="E623" s="37"/>
      <c r="F623" s="37"/>
      <c r="G623" s="257"/>
      <c r="H623" s="112"/>
      <c r="I623" s="112"/>
      <c r="J623" s="112"/>
      <c r="K623" s="112"/>
      <c r="L623" s="112"/>
      <c r="M623" s="9"/>
      <c r="N623" s="9"/>
      <c r="O623" s="9"/>
      <c r="P623" s="9"/>
      <c r="Q623" s="9"/>
      <c r="R623" s="46"/>
      <c r="S623" s="46"/>
      <c r="T623" s="46"/>
      <c r="U623" s="46"/>
      <c r="V623" s="46"/>
      <c r="W623" s="46"/>
      <c r="X623" s="46"/>
      <c r="Y623" s="46"/>
    </row>
    <row r="624" spans="1:25">
      <c r="A624" s="9"/>
      <c r="B624" s="9"/>
      <c r="C624" s="9"/>
      <c r="D624" s="9"/>
      <c r="E624" s="37"/>
      <c r="F624" s="37"/>
      <c r="G624" s="257"/>
      <c r="H624" s="112"/>
      <c r="I624" s="112"/>
      <c r="J624" s="112"/>
      <c r="K624" s="112"/>
      <c r="L624" s="112"/>
      <c r="M624" s="9"/>
      <c r="N624" s="9"/>
      <c r="O624" s="9"/>
      <c r="P624" s="9"/>
      <c r="Q624" s="9"/>
      <c r="R624" s="46"/>
      <c r="S624" s="46"/>
      <c r="T624" s="46"/>
      <c r="U624" s="46"/>
      <c r="V624" s="46"/>
      <c r="W624" s="46"/>
      <c r="X624" s="46"/>
      <c r="Y624" s="46"/>
    </row>
    <row r="625" spans="1:25">
      <c r="A625" s="9"/>
      <c r="B625" s="9"/>
      <c r="C625" s="9"/>
      <c r="D625" s="9"/>
      <c r="E625" s="37"/>
      <c r="F625" s="37"/>
      <c r="G625" s="257"/>
      <c r="H625" s="112"/>
      <c r="I625" s="112"/>
      <c r="J625" s="112"/>
      <c r="K625" s="112"/>
      <c r="L625" s="112"/>
      <c r="M625" s="9"/>
      <c r="N625" s="9"/>
      <c r="O625" s="9"/>
      <c r="P625" s="9"/>
      <c r="Q625" s="9"/>
      <c r="R625" s="46"/>
      <c r="S625" s="46"/>
      <c r="T625" s="46"/>
      <c r="U625" s="46"/>
      <c r="V625" s="46"/>
      <c r="W625" s="46"/>
      <c r="X625" s="46"/>
      <c r="Y625" s="46"/>
    </row>
    <row r="626" spans="1:25">
      <c r="A626" s="9"/>
      <c r="B626" s="9"/>
      <c r="C626" s="9"/>
      <c r="D626" s="9"/>
      <c r="E626" s="37"/>
      <c r="F626" s="37"/>
      <c r="G626" s="257"/>
      <c r="H626" s="112"/>
      <c r="I626" s="112"/>
      <c r="J626" s="112"/>
      <c r="K626" s="112"/>
      <c r="L626" s="112"/>
      <c r="M626" s="9"/>
      <c r="N626" s="9"/>
      <c r="O626" s="9"/>
      <c r="P626" s="9"/>
      <c r="Q626" s="9"/>
      <c r="R626" s="46"/>
      <c r="S626" s="46"/>
      <c r="T626" s="46"/>
      <c r="U626" s="46"/>
      <c r="V626" s="46"/>
      <c r="W626" s="46"/>
      <c r="X626" s="46"/>
      <c r="Y626" s="46"/>
    </row>
    <row r="627" spans="1:25">
      <c r="A627" s="9"/>
      <c r="B627" s="9"/>
      <c r="C627" s="9"/>
      <c r="D627" s="9"/>
      <c r="E627" s="37"/>
      <c r="F627" s="37"/>
      <c r="G627" s="257"/>
      <c r="H627" s="112"/>
      <c r="I627" s="112"/>
      <c r="J627" s="112"/>
      <c r="K627" s="112"/>
      <c r="L627" s="112"/>
      <c r="M627" s="9"/>
      <c r="N627" s="9"/>
      <c r="O627" s="9"/>
      <c r="P627" s="9"/>
      <c r="Q627" s="9"/>
      <c r="R627" s="46"/>
      <c r="S627" s="46"/>
      <c r="T627" s="46"/>
      <c r="U627" s="46"/>
      <c r="V627" s="46"/>
      <c r="W627" s="46"/>
      <c r="X627" s="46"/>
      <c r="Y627" s="46"/>
    </row>
    <row r="628" spans="1:25">
      <c r="A628" s="9"/>
      <c r="B628" s="9"/>
      <c r="C628" s="9"/>
      <c r="D628" s="9"/>
      <c r="E628" s="37"/>
      <c r="F628" s="37"/>
      <c r="G628" s="257"/>
      <c r="H628" s="112"/>
      <c r="I628" s="112"/>
      <c r="J628" s="112"/>
      <c r="K628" s="112"/>
      <c r="L628" s="112"/>
      <c r="M628" s="9"/>
      <c r="N628" s="9"/>
      <c r="O628" s="9"/>
      <c r="P628" s="9"/>
      <c r="Q628" s="9"/>
      <c r="R628" s="46"/>
      <c r="S628" s="46"/>
      <c r="T628" s="46"/>
      <c r="U628" s="46"/>
      <c r="V628" s="46"/>
      <c r="W628" s="46"/>
      <c r="X628" s="46"/>
      <c r="Y628" s="46"/>
    </row>
    <row r="629" spans="1:25">
      <c r="A629" s="9"/>
      <c r="B629" s="9"/>
      <c r="C629" s="9"/>
      <c r="D629" s="9"/>
      <c r="E629" s="37"/>
      <c r="F629" s="37"/>
      <c r="G629" s="257"/>
      <c r="H629" s="112"/>
      <c r="I629" s="112"/>
      <c r="J629" s="112"/>
      <c r="K629" s="112"/>
      <c r="L629" s="112"/>
      <c r="M629" s="9"/>
      <c r="N629" s="9"/>
      <c r="O629" s="9"/>
      <c r="P629" s="9"/>
      <c r="Q629" s="9"/>
      <c r="R629" s="46"/>
      <c r="S629" s="46"/>
      <c r="T629" s="46"/>
      <c r="U629" s="46"/>
      <c r="V629" s="46"/>
      <c r="W629" s="46"/>
      <c r="X629" s="46"/>
      <c r="Y629" s="46"/>
    </row>
    <row r="630" spans="1:25">
      <c r="A630" s="9"/>
      <c r="B630" s="9"/>
      <c r="C630" s="9"/>
      <c r="D630" s="9"/>
      <c r="E630" s="37"/>
      <c r="F630" s="37"/>
      <c r="G630" s="257"/>
      <c r="H630" s="112"/>
      <c r="I630" s="112"/>
      <c r="J630" s="112"/>
      <c r="K630" s="112"/>
      <c r="L630" s="112"/>
      <c r="M630" s="9"/>
      <c r="N630" s="9"/>
      <c r="O630" s="9"/>
      <c r="P630" s="9"/>
      <c r="Q630" s="9"/>
      <c r="R630" s="46"/>
      <c r="S630" s="46"/>
      <c r="T630" s="46"/>
      <c r="U630" s="46"/>
      <c r="V630" s="46"/>
      <c r="W630" s="46"/>
      <c r="X630" s="46"/>
      <c r="Y630" s="46"/>
    </row>
    <row r="631" spans="1:25">
      <c r="A631" s="9"/>
      <c r="B631" s="9"/>
      <c r="C631" s="9"/>
      <c r="D631" s="9"/>
      <c r="E631" s="37"/>
      <c r="F631" s="37"/>
      <c r="G631" s="257"/>
      <c r="H631" s="112"/>
      <c r="I631" s="112"/>
      <c r="J631" s="112"/>
      <c r="K631" s="112"/>
      <c r="L631" s="112"/>
      <c r="M631" s="9"/>
      <c r="N631" s="9"/>
      <c r="O631" s="9"/>
      <c r="P631" s="9"/>
      <c r="Q631" s="9"/>
      <c r="R631" s="46"/>
      <c r="S631" s="46"/>
      <c r="T631" s="46"/>
      <c r="U631" s="46"/>
      <c r="V631" s="46"/>
      <c r="W631" s="46"/>
      <c r="X631" s="46"/>
      <c r="Y631" s="46"/>
    </row>
    <row r="632" spans="1:25">
      <c r="A632" s="9"/>
      <c r="B632" s="9"/>
      <c r="C632" s="9"/>
      <c r="D632" s="9"/>
      <c r="E632" s="37"/>
      <c r="F632" s="37"/>
      <c r="G632" s="257"/>
      <c r="H632" s="112"/>
      <c r="I632" s="112"/>
      <c r="J632" s="112"/>
      <c r="K632" s="112"/>
      <c r="L632" s="112"/>
      <c r="M632" s="9"/>
      <c r="N632" s="9"/>
      <c r="O632" s="9"/>
      <c r="P632" s="9"/>
      <c r="Q632" s="9"/>
      <c r="R632" s="9"/>
      <c r="S632" s="9"/>
      <c r="T632" s="9"/>
      <c r="U632" s="9"/>
      <c r="V632" s="9"/>
      <c r="W632" s="9"/>
      <c r="X632" s="9"/>
      <c r="Y632" s="9"/>
    </row>
    <row r="633" spans="1:25">
      <c r="A633" s="9"/>
      <c r="B633" s="9"/>
      <c r="C633" s="9"/>
      <c r="D633" s="9"/>
      <c r="E633" s="37"/>
      <c r="F633" s="37"/>
      <c r="G633" s="257"/>
      <c r="H633" s="112"/>
      <c r="I633" s="112"/>
      <c r="J633" s="112"/>
      <c r="K633" s="112"/>
      <c r="L633" s="112"/>
      <c r="M633" s="9"/>
      <c r="N633" s="9"/>
      <c r="O633" s="9"/>
      <c r="P633" s="9"/>
      <c r="Q633" s="9"/>
      <c r="R633" s="9"/>
      <c r="S633" s="9"/>
      <c r="T633" s="9"/>
      <c r="U633" s="9"/>
      <c r="V633" s="9"/>
      <c r="W633" s="9"/>
      <c r="X633" s="9"/>
      <c r="Y633" s="9"/>
    </row>
    <row r="634" spans="1:25">
      <c r="A634" s="9"/>
      <c r="B634" s="9"/>
      <c r="C634" s="9"/>
      <c r="D634" s="9"/>
      <c r="E634" s="37"/>
      <c r="F634" s="37"/>
      <c r="G634" s="257"/>
      <c r="H634" s="112"/>
      <c r="I634" s="112"/>
      <c r="J634" s="112"/>
      <c r="K634" s="112"/>
      <c r="L634" s="112"/>
      <c r="M634" s="9"/>
      <c r="N634" s="9"/>
      <c r="O634" s="9"/>
      <c r="P634" s="9"/>
      <c r="Q634" s="9"/>
      <c r="R634" s="9"/>
      <c r="S634" s="9"/>
      <c r="T634" s="9"/>
      <c r="U634" s="9"/>
      <c r="V634" s="9"/>
      <c r="W634" s="9"/>
      <c r="X634" s="9"/>
      <c r="Y634" s="9"/>
    </row>
    <row r="635" spans="1:25">
      <c r="A635" s="9"/>
      <c r="B635" s="9"/>
      <c r="C635" s="9"/>
      <c r="D635" s="9"/>
      <c r="E635" s="37"/>
      <c r="F635" s="37"/>
      <c r="G635" s="257"/>
      <c r="H635" s="112"/>
      <c r="I635" s="112"/>
      <c r="J635" s="112"/>
      <c r="K635" s="112"/>
      <c r="L635" s="112"/>
      <c r="M635" s="9"/>
      <c r="N635" s="9"/>
      <c r="O635" s="9"/>
      <c r="P635" s="9"/>
      <c r="Q635" s="9"/>
      <c r="R635" s="9"/>
      <c r="S635" s="9"/>
      <c r="T635" s="9"/>
      <c r="U635" s="9"/>
      <c r="V635" s="9"/>
      <c r="W635" s="9"/>
      <c r="X635" s="9"/>
      <c r="Y635" s="9"/>
    </row>
    <row r="636" spans="1:25">
      <c r="A636" s="9"/>
      <c r="B636" s="9"/>
      <c r="C636" s="9"/>
      <c r="D636" s="9"/>
      <c r="E636" s="37"/>
      <c r="F636" s="37"/>
      <c r="G636" s="257"/>
      <c r="H636" s="112"/>
      <c r="I636" s="112"/>
      <c r="J636" s="112"/>
      <c r="K636" s="112"/>
      <c r="L636" s="112"/>
      <c r="M636" s="9"/>
      <c r="N636" s="9"/>
      <c r="O636" s="9"/>
      <c r="P636" s="9"/>
      <c r="Q636" s="9"/>
      <c r="R636" s="9"/>
      <c r="S636" s="9"/>
      <c r="T636" s="9"/>
      <c r="U636" s="9"/>
      <c r="V636" s="9"/>
      <c r="W636" s="9"/>
      <c r="X636" s="9"/>
      <c r="Y636" s="9"/>
    </row>
    <row r="637" spans="1:25">
      <c r="A637" s="9"/>
      <c r="B637" s="9"/>
      <c r="C637" s="9"/>
      <c r="D637" s="9"/>
      <c r="E637" s="37"/>
      <c r="F637" s="37"/>
      <c r="G637" s="257"/>
      <c r="H637" s="112"/>
      <c r="I637" s="112"/>
      <c r="J637" s="112"/>
      <c r="K637" s="112"/>
      <c r="L637" s="112"/>
      <c r="M637" s="9"/>
      <c r="N637" s="9"/>
      <c r="O637" s="9"/>
      <c r="P637" s="9"/>
      <c r="Q637" s="9"/>
      <c r="R637" s="9"/>
      <c r="S637" s="9"/>
      <c r="T637" s="9"/>
      <c r="U637" s="9"/>
      <c r="V637" s="9"/>
      <c r="W637" s="9"/>
      <c r="X637" s="9"/>
      <c r="Y637" s="9"/>
    </row>
    <row r="638" spans="1:25">
      <c r="A638" s="9"/>
      <c r="B638" s="9"/>
      <c r="C638" s="9"/>
      <c r="D638" s="9"/>
      <c r="E638" s="37"/>
      <c r="F638" s="37"/>
      <c r="G638" s="257"/>
      <c r="H638" s="112"/>
      <c r="I638" s="112"/>
      <c r="J638" s="112"/>
      <c r="K638" s="112"/>
      <c r="L638" s="112"/>
      <c r="M638" s="9"/>
      <c r="N638" s="9"/>
      <c r="O638" s="9"/>
      <c r="P638" s="9"/>
      <c r="Q638" s="9"/>
      <c r="R638" s="9"/>
      <c r="S638" s="9"/>
      <c r="T638" s="9"/>
      <c r="U638" s="9"/>
      <c r="V638" s="9"/>
      <c r="W638" s="9"/>
      <c r="X638" s="9"/>
      <c r="Y638" s="9"/>
    </row>
    <row r="639" spans="1:25">
      <c r="A639" s="9"/>
      <c r="B639" s="9"/>
      <c r="C639" s="9"/>
      <c r="D639" s="9"/>
      <c r="E639" s="37"/>
      <c r="F639" s="37"/>
      <c r="G639" s="257"/>
      <c r="H639" s="112"/>
      <c r="I639" s="112"/>
      <c r="J639" s="112"/>
      <c r="K639" s="112"/>
      <c r="L639" s="112"/>
      <c r="M639" s="9"/>
      <c r="N639" s="9"/>
      <c r="O639" s="9"/>
      <c r="P639" s="9"/>
      <c r="Q639" s="9"/>
      <c r="R639" s="9"/>
      <c r="S639" s="9"/>
      <c r="T639" s="9"/>
      <c r="U639" s="9"/>
      <c r="V639" s="9"/>
      <c r="W639" s="9"/>
      <c r="X639" s="9"/>
      <c r="Y639" s="9"/>
    </row>
    <row r="640" spans="1:25">
      <c r="A640" s="9"/>
      <c r="B640" s="9"/>
      <c r="C640" s="9"/>
      <c r="D640" s="9"/>
      <c r="E640" s="37"/>
      <c r="F640" s="37"/>
      <c r="G640" s="257"/>
      <c r="H640" s="112"/>
      <c r="I640" s="112"/>
      <c r="J640" s="112"/>
      <c r="K640" s="112"/>
      <c r="L640" s="112"/>
      <c r="M640" s="9"/>
      <c r="N640" s="9"/>
      <c r="O640" s="9"/>
      <c r="P640" s="9"/>
      <c r="Q640" s="9"/>
      <c r="R640" s="9"/>
      <c r="S640" s="9"/>
      <c r="T640" s="9"/>
      <c r="U640" s="9"/>
      <c r="V640" s="9"/>
      <c r="W640" s="9"/>
      <c r="X640" s="9"/>
      <c r="Y640" s="9"/>
    </row>
    <row r="641" spans="1:25">
      <c r="A641" s="9"/>
      <c r="B641" s="9"/>
      <c r="C641" s="9"/>
      <c r="D641" s="9"/>
      <c r="E641" s="37"/>
      <c r="F641" s="37"/>
      <c r="G641" s="257"/>
      <c r="H641" s="112"/>
      <c r="I641" s="112"/>
      <c r="J641" s="112"/>
      <c r="K641" s="112"/>
      <c r="L641" s="112"/>
      <c r="M641" s="9"/>
      <c r="N641" s="9"/>
      <c r="O641" s="9"/>
      <c r="P641" s="9"/>
      <c r="Q641" s="9"/>
      <c r="R641" s="9"/>
      <c r="S641" s="9"/>
      <c r="T641" s="9"/>
      <c r="U641" s="9"/>
      <c r="V641" s="9"/>
      <c r="W641" s="9"/>
      <c r="X641" s="9"/>
      <c r="Y641" s="9"/>
    </row>
    <row r="642" spans="1:25">
      <c r="A642" s="9"/>
      <c r="B642" s="9"/>
      <c r="C642" s="9"/>
      <c r="D642" s="9"/>
      <c r="E642" s="37"/>
      <c r="F642" s="37"/>
      <c r="G642" s="257"/>
      <c r="H642" s="112"/>
      <c r="I642" s="112"/>
      <c r="J642" s="112"/>
      <c r="K642" s="112"/>
      <c r="L642" s="112"/>
      <c r="M642" s="9"/>
      <c r="N642" s="9"/>
      <c r="O642" s="9"/>
      <c r="P642" s="9"/>
      <c r="Q642" s="9"/>
      <c r="R642" s="9"/>
      <c r="S642" s="9"/>
      <c r="T642" s="9"/>
      <c r="U642" s="9"/>
      <c r="V642" s="9"/>
      <c r="W642" s="9"/>
      <c r="X642" s="9"/>
      <c r="Y642" s="9"/>
    </row>
    <row r="643" spans="1:25">
      <c r="A643" s="9"/>
      <c r="B643" s="9"/>
      <c r="C643" s="9"/>
      <c r="D643" s="9"/>
      <c r="E643" s="37"/>
      <c r="F643" s="37"/>
      <c r="G643" s="257"/>
      <c r="H643" s="112"/>
      <c r="I643" s="112"/>
      <c r="J643" s="112"/>
      <c r="K643" s="112"/>
      <c r="L643" s="112"/>
      <c r="M643" s="9"/>
      <c r="N643" s="9"/>
      <c r="O643" s="9"/>
      <c r="P643" s="9"/>
      <c r="Q643" s="9"/>
      <c r="R643" s="9"/>
      <c r="S643" s="9"/>
      <c r="T643" s="9"/>
      <c r="U643" s="9"/>
      <c r="V643" s="9"/>
      <c r="W643" s="9"/>
      <c r="X643" s="9"/>
      <c r="Y643" s="9"/>
    </row>
    <row r="644" spans="1:25">
      <c r="A644" s="9"/>
      <c r="B644" s="9"/>
      <c r="C644" s="9"/>
      <c r="D644" s="9"/>
      <c r="E644" s="37"/>
      <c r="F644" s="37"/>
      <c r="G644" s="257"/>
      <c r="H644" s="112"/>
      <c r="I644" s="112"/>
      <c r="J644" s="112"/>
      <c r="K644" s="112"/>
      <c r="L644" s="112"/>
      <c r="M644" s="9"/>
      <c r="N644" s="9"/>
      <c r="O644" s="9"/>
      <c r="P644" s="9"/>
      <c r="Q644" s="9"/>
      <c r="R644" s="9"/>
      <c r="S644" s="9"/>
      <c r="T644" s="9"/>
      <c r="U644" s="9"/>
      <c r="V644" s="9"/>
      <c r="W644" s="9"/>
      <c r="X644" s="9"/>
      <c r="Y644" s="9"/>
    </row>
    <row r="645" spans="1:25">
      <c r="A645" s="9"/>
      <c r="B645" s="9"/>
      <c r="C645" s="9"/>
      <c r="D645" s="9"/>
      <c r="E645" s="37"/>
      <c r="F645" s="37"/>
      <c r="G645" s="257"/>
      <c r="H645" s="112"/>
      <c r="I645" s="112"/>
      <c r="J645" s="112"/>
      <c r="K645" s="112"/>
      <c r="L645" s="112"/>
      <c r="M645" s="9"/>
      <c r="N645" s="9"/>
      <c r="O645" s="9"/>
      <c r="P645" s="9"/>
      <c r="Q645" s="9"/>
      <c r="R645" s="9"/>
      <c r="S645" s="9"/>
      <c r="T645" s="9"/>
      <c r="U645" s="9"/>
      <c r="V645" s="9"/>
      <c r="W645" s="9"/>
      <c r="X645" s="9"/>
      <c r="Y645" s="9"/>
    </row>
    <row r="646" spans="1:25">
      <c r="A646" s="9"/>
      <c r="B646" s="9"/>
      <c r="C646" s="9"/>
      <c r="D646" s="9"/>
      <c r="E646" s="37"/>
      <c r="F646" s="37"/>
      <c r="G646" s="257"/>
      <c r="H646" s="112"/>
      <c r="I646" s="112"/>
      <c r="J646" s="112"/>
      <c r="K646" s="112"/>
      <c r="L646" s="112"/>
      <c r="M646" s="9"/>
      <c r="N646" s="9"/>
      <c r="O646" s="9"/>
      <c r="P646" s="9"/>
      <c r="Q646" s="9"/>
      <c r="R646" s="9"/>
      <c r="S646" s="9"/>
      <c r="T646" s="9"/>
      <c r="U646" s="9"/>
      <c r="V646" s="9"/>
      <c r="W646" s="9"/>
      <c r="X646" s="9"/>
      <c r="Y646" s="9"/>
    </row>
    <row r="647" spans="1:25">
      <c r="A647" s="9"/>
      <c r="B647" s="9"/>
      <c r="C647" s="9"/>
      <c r="D647" s="9"/>
      <c r="E647" s="37"/>
      <c r="F647" s="37"/>
      <c r="G647" s="257"/>
      <c r="H647" s="112"/>
      <c r="I647" s="112"/>
      <c r="J647" s="112"/>
      <c r="K647" s="112"/>
      <c r="L647" s="112"/>
      <c r="M647" s="9"/>
      <c r="N647" s="9"/>
      <c r="O647" s="9"/>
      <c r="P647" s="9"/>
      <c r="Q647" s="9"/>
      <c r="R647" s="9"/>
      <c r="S647" s="9"/>
      <c r="T647" s="9"/>
      <c r="U647" s="9"/>
      <c r="V647" s="9"/>
      <c r="W647" s="9"/>
      <c r="X647" s="9"/>
      <c r="Y647" s="9"/>
    </row>
    <row r="648" spans="1:25">
      <c r="A648" s="9"/>
      <c r="B648" s="9"/>
      <c r="C648" s="9"/>
      <c r="D648" s="9"/>
      <c r="E648" s="37"/>
      <c r="F648" s="37"/>
      <c r="G648" s="257"/>
      <c r="H648" s="112"/>
      <c r="I648" s="112"/>
      <c r="J648" s="112"/>
      <c r="K648" s="112"/>
      <c r="L648" s="112"/>
      <c r="M648" s="9"/>
      <c r="N648" s="9"/>
      <c r="O648" s="9"/>
      <c r="P648" s="9"/>
      <c r="Q648" s="9"/>
      <c r="R648" s="9"/>
      <c r="S648" s="9"/>
      <c r="T648" s="9"/>
      <c r="U648" s="9"/>
      <c r="V648" s="9"/>
      <c r="W648" s="9"/>
      <c r="X648" s="9"/>
      <c r="Y648" s="9"/>
    </row>
    <row r="649" spans="1:25">
      <c r="A649" s="9"/>
      <c r="B649" s="9"/>
      <c r="C649" s="9"/>
      <c r="D649" s="9"/>
      <c r="E649" s="37"/>
      <c r="F649" s="37"/>
      <c r="G649" s="257"/>
      <c r="H649" s="112"/>
      <c r="I649" s="112"/>
      <c r="J649" s="112"/>
      <c r="K649" s="112"/>
      <c r="L649" s="112"/>
      <c r="M649" s="9"/>
      <c r="N649" s="9"/>
      <c r="O649" s="9"/>
      <c r="P649" s="9"/>
      <c r="Q649" s="9"/>
      <c r="R649" s="9"/>
      <c r="S649" s="9"/>
      <c r="T649" s="9"/>
      <c r="U649" s="9"/>
      <c r="V649" s="9"/>
      <c r="W649" s="9"/>
      <c r="X649" s="9"/>
      <c r="Y649" s="9"/>
    </row>
    <row r="650" spans="1:25">
      <c r="A650" s="9"/>
      <c r="B650" s="9"/>
      <c r="C650" s="9"/>
      <c r="D650" s="9"/>
      <c r="E650" s="37"/>
      <c r="F650" s="37"/>
      <c r="G650" s="257"/>
      <c r="H650" s="112"/>
      <c r="I650" s="112"/>
      <c r="J650" s="112"/>
      <c r="K650" s="112"/>
      <c r="L650" s="112"/>
      <c r="M650" s="9"/>
      <c r="N650" s="9"/>
      <c r="O650" s="9"/>
      <c r="P650" s="9"/>
      <c r="Q650" s="9"/>
      <c r="R650" s="9"/>
      <c r="S650" s="9"/>
      <c r="T650" s="9"/>
      <c r="U650" s="9"/>
      <c r="V650" s="9"/>
      <c r="W650" s="9"/>
      <c r="X650" s="9"/>
      <c r="Y650" s="9"/>
    </row>
    <row r="651" spans="1:25">
      <c r="A651" s="9"/>
      <c r="B651" s="9"/>
      <c r="C651" s="9"/>
      <c r="D651" s="9"/>
      <c r="E651" s="37"/>
      <c r="F651" s="37"/>
      <c r="G651" s="257"/>
      <c r="H651" s="112"/>
      <c r="I651" s="112"/>
      <c r="J651" s="112"/>
      <c r="K651" s="112"/>
      <c r="L651" s="112"/>
      <c r="M651" s="9"/>
      <c r="N651" s="9"/>
      <c r="O651" s="9"/>
      <c r="P651" s="9"/>
      <c r="Q651" s="9"/>
      <c r="R651" s="9"/>
      <c r="S651" s="9"/>
      <c r="T651" s="9"/>
      <c r="U651" s="9"/>
      <c r="V651" s="9"/>
      <c r="W651" s="9"/>
      <c r="X651" s="9"/>
      <c r="Y651" s="9"/>
    </row>
    <row r="652" spans="1:25">
      <c r="A652" s="9"/>
      <c r="B652" s="9"/>
      <c r="C652" s="9"/>
      <c r="D652" s="9"/>
      <c r="E652" s="37"/>
      <c r="F652" s="37"/>
      <c r="G652" s="257"/>
      <c r="H652" s="112"/>
      <c r="I652" s="112"/>
      <c r="J652" s="112"/>
      <c r="K652" s="112"/>
      <c r="L652" s="112"/>
      <c r="M652" s="9"/>
      <c r="N652" s="9"/>
      <c r="O652" s="9"/>
      <c r="P652" s="9"/>
      <c r="Q652" s="9"/>
      <c r="R652" s="9"/>
      <c r="S652" s="9"/>
      <c r="T652" s="9"/>
      <c r="U652" s="9"/>
      <c r="V652" s="9"/>
      <c r="W652" s="9"/>
      <c r="X652" s="9"/>
      <c r="Y652" s="9"/>
    </row>
    <row r="653" spans="1:25">
      <c r="A653" s="9"/>
      <c r="B653" s="9"/>
      <c r="C653" s="9"/>
      <c r="D653" s="9"/>
      <c r="E653" s="37"/>
      <c r="F653" s="37"/>
      <c r="G653" s="257"/>
      <c r="H653" s="112"/>
      <c r="I653" s="112"/>
      <c r="J653" s="112"/>
      <c r="K653" s="112"/>
      <c r="L653" s="112"/>
      <c r="M653" s="9"/>
      <c r="N653" s="9"/>
      <c r="O653" s="9"/>
      <c r="P653" s="9"/>
      <c r="Q653" s="9"/>
      <c r="R653" s="9"/>
      <c r="S653" s="9"/>
      <c r="T653" s="9"/>
      <c r="U653" s="9"/>
      <c r="V653" s="9"/>
      <c r="W653" s="9"/>
      <c r="X653" s="9"/>
      <c r="Y653" s="9"/>
    </row>
    <row r="654" spans="1:25">
      <c r="A654" s="9"/>
      <c r="B654" s="9"/>
      <c r="C654" s="9"/>
      <c r="D654" s="9"/>
      <c r="E654" s="37"/>
      <c r="F654" s="37"/>
      <c r="G654" s="257"/>
      <c r="H654" s="112"/>
      <c r="I654" s="112"/>
      <c r="J654" s="112"/>
      <c r="K654" s="112"/>
      <c r="L654" s="112"/>
      <c r="M654" s="9"/>
      <c r="N654" s="9"/>
      <c r="O654" s="9"/>
      <c r="P654" s="9"/>
      <c r="Q654" s="9"/>
      <c r="R654" s="9"/>
      <c r="S654" s="9"/>
      <c r="T654" s="9"/>
      <c r="U654" s="9"/>
      <c r="V654" s="9"/>
      <c r="W654" s="9"/>
      <c r="X654" s="9"/>
      <c r="Y654" s="9"/>
    </row>
    <row r="655" spans="1:25">
      <c r="A655" s="9"/>
      <c r="B655" s="9"/>
      <c r="C655" s="9"/>
      <c r="D655" s="9"/>
      <c r="E655" s="37"/>
      <c r="F655" s="37"/>
      <c r="G655" s="257"/>
      <c r="H655" s="112"/>
      <c r="I655" s="112"/>
      <c r="J655" s="112"/>
      <c r="K655" s="112"/>
      <c r="L655" s="112"/>
      <c r="M655" s="9"/>
      <c r="N655" s="9"/>
      <c r="O655" s="9"/>
      <c r="P655" s="9"/>
      <c r="Q655" s="9"/>
      <c r="R655" s="9"/>
      <c r="S655" s="9"/>
      <c r="T655" s="9"/>
      <c r="U655" s="9"/>
      <c r="V655" s="9"/>
      <c r="W655" s="9"/>
      <c r="X655" s="9"/>
      <c r="Y655" s="9"/>
    </row>
    <row r="656" spans="1:25">
      <c r="A656" s="9"/>
      <c r="B656" s="9"/>
      <c r="C656" s="9"/>
      <c r="D656" s="9"/>
      <c r="E656" s="37"/>
      <c r="F656" s="37"/>
      <c r="G656" s="257"/>
      <c r="H656" s="112"/>
      <c r="I656" s="112"/>
      <c r="J656" s="112"/>
      <c r="K656" s="112"/>
      <c r="L656" s="112"/>
      <c r="M656" s="9"/>
      <c r="N656" s="9"/>
      <c r="O656" s="9"/>
      <c r="P656" s="9"/>
      <c r="Q656" s="9"/>
      <c r="R656" s="9"/>
      <c r="S656" s="9"/>
      <c r="T656" s="9"/>
      <c r="U656" s="9"/>
      <c r="V656" s="9"/>
      <c r="W656" s="9"/>
      <c r="X656" s="9"/>
      <c r="Y656" s="9"/>
    </row>
    <row r="657" spans="1:25">
      <c r="A657" s="9"/>
      <c r="B657" s="9"/>
      <c r="C657" s="9"/>
      <c r="D657" s="9"/>
      <c r="E657" s="37"/>
      <c r="F657" s="37"/>
      <c r="G657" s="257"/>
      <c r="H657" s="112"/>
      <c r="I657" s="112"/>
      <c r="J657" s="112"/>
      <c r="K657" s="112"/>
      <c r="L657" s="112"/>
      <c r="M657" s="9"/>
      <c r="N657" s="9"/>
      <c r="O657" s="9"/>
      <c r="P657" s="9"/>
      <c r="Q657" s="9"/>
      <c r="R657" s="9"/>
      <c r="S657" s="9"/>
      <c r="T657" s="9"/>
      <c r="U657" s="9"/>
      <c r="V657" s="9"/>
      <c r="W657" s="9"/>
      <c r="X657" s="9"/>
      <c r="Y657" s="9"/>
    </row>
    <row r="658" spans="1:25">
      <c r="A658" s="9"/>
      <c r="B658" s="9"/>
      <c r="C658" s="9"/>
      <c r="D658" s="9"/>
      <c r="E658" s="37"/>
      <c r="F658" s="37"/>
      <c r="G658" s="257"/>
      <c r="H658" s="112"/>
      <c r="I658" s="112"/>
      <c r="J658" s="112"/>
      <c r="K658" s="112"/>
      <c r="L658" s="112"/>
      <c r="M658" s="9"/>
      <c r="N658" s="9"/>
      <c r="O658" s="9"/>
      <c r="P658" s="9"/>
      <c r="Q658" s="9"/>
      <c r="R658" s="9"/>
      <c r="S658" s="9"/>
      <c r="T658" s="9"/>
      <c r="U658" s="9"/>
      <c r="V658" s="9"/>
      <c r="W658" s="9"/>
      <c r="X658" s="9"/>
      <c r="Y658" s="9"/>
    </row>
    <row r="659" spans="1:25">
      <c r="A659" s="9"/>
      <c r="B659" s="9"/>
      <c r="C659" s="9"/>
      <c r="D659" s="9"/>
      <c r="E659" s="37"/>
      <c r="F659" s="37"/>
      <c r="G659" s="257"/>
      <c r="H659" s="112"/>
      <c r="I659" s="112"/>
      <c r="J659" s="112"/>
      <c r="K659" s="112"/>
      <c r="L659" s="112"/>
      <c r="M659" s="9"/>
      <c r="N659" s="9"/>
      <c r="O659" s="9"/>
      <c r="P659" s="9"/>
      <c r="Q659" s="9"/>
      <c r="R659" s="9"/>
      <c r="S659" s="9"/>
      <c r="T659" s="9"/>
      <c r="U659" s="9"/>
      <c r="V659" s="9"/>
      <c r="W659" s="9"/>
      <c r="X659" s="9"/>
      <c r="Y659" s="9"/>
    </row>
    <row r="660" spans="1:25">
      <c r="A660" s="9"/>
      <c r="B660" s="9"/>
      <c r="C660" s="9"/>
      <c r="D660" s="9"/>
      <c r="E660" s="37"/>
      <c r="F660" s="37"/>
      <c r="G660" s="257"/>
      <c r="H660" s="112"/>
      <c r="I660" s="112"/>
      <c r="J660" s="112"/>
      <c r="K660" s="112"/>
      <c r="L660" s="112"/>
      <c r="M660" s="9"/>
      <c r="N660" s="9"/>
      <c r="O660" s="9"/>
      <c r="P660" s="9"/>
      <c r="Q660" s="9"/>
      <c r="R660" s="9"/>
      <c r="S660" s="9"/>
      <c r="T660" s="9"/>
      <c r="U660" s="9"/>
      <c r="V660" s="9"/>
      <c r="W660" s="9"/>
      <c r="X660" s="9"/>
      <c r="Y660" s="9"/>
    </row>
  </sheetData>
  <mergeCells count="60">
    <mergeCell ref="C23:C32"/>
    <mergeCell ref="C36:D36"/>
    <mergeCell ref="C37:C46"/>
    <mergeCell ref="C8:D8"/>
    <mergeCell ref="C9:C18"/>
    <mergeCell ref="C22:D22"/>
    <mergeCell ref="C65:C74"/>
    <mergeCell ref="C78:D78"/>
    <mergeCell ref="C79:C88"/>
    <mergeCell ref="C50:D50"/>
    <mergeCell ref="C51:C60"/>
    <mergeCell ref="C64:D64"/>
    <mergeCell ref="C107:C116"/>
    <mergeCell ref="C120:D120"/>
    <mergeCell ref="C121:C130"/>
    <mergeCell ref="C92:D92"/>
    <mergeCell ref="C93:C102"/>
    <mergeCell ref="C106:D106"/>
    <mergeCell ref="C149:C158"/>
    <mergeCell ref="C162:D162"/>
    <mergeCell ref="C163:C172"/>
    <mergeCell ref="C134:D134"/>
    <mergeCell ref="C135:C144"/>
    <mergeCell ref="C148:D148"/>
    <mergeCell ref="C191:C200"/>
    <mergeCell ref="C204:D204"/>
    <mergeCell ref="C205:C214"/>
    <mergeCell ref="C176:D176"/>
    <mergeCell ref="C177:C186"/>
    <mergeCell ref="C190:D190"/>
    <mergeCell ref="C233:C242"/>
    <mergeCell ref="C246:D246"/>
    <mergeCell ref="C247:C256"/>
    <mergeCell ref="C218:D218"/>
    <mergeCell ref="C219:C228"/>
    <mergeCell ref="C232:D232"/>
    <mergeCell ref="C275:C284"/>
    <mergeCell ref="C288:D288"/>
    <mergeCell ref="C289:C298"/>
    <mergeCell ref="C260:D260"/>
    <mergeCell ref="C261:C270"/>
    <mergeCell ref="C274:D274"/>
    <mergeCell ref="C317:C326"/>
    <mergeCell ref="C330:D330"/>
    <mergeCell ref="C331:C340"/>
    <mergeCell ref="C302:D302"/>
    <mergeCell ref="C303:C312"/>
    <mergeCell ref="C316:D316"/>
    <mergeCell ref="C359:C368"/>
    <mergeCell ref="C372:D372"/>
    <mergeCell ref="C373:C382"/>
    <mergeCell ref="C344:D344"/>
    <mergeCell ref="C345:C354"/>
    <mergeCell ref="C358:D358"/>
    <mergeCell ref="C401:C410"/>
    <mergeCell ref="C414:D414"/>
    <mergeCell ref="C415:C424"/>
    <mergeCell ref="C386:D386"/>
    <mergeCell ref="C387:C396"/>
    <mergeCell ref="C400:D400"/>
  </mergeCells>
  <phoneticPr fontId="15"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IV104"/>
  <sheetViews>
    <sheetView showGridLines="0" zoomScale="85" workbookViewId="0"/>
  </sheetViews>
  <sheetFormatPr defaultRowHeight="12.75" outlineLevelRow="1"/>
  <cols>
    <col min="1" max="1" width="3.5703125" customWidth="1"/>
    <col min="2" max="2" width="22.85546875" style="278" customWidth="1"/>
    <col min="3" max="3" width="12.42578125" style="278" customWidth="1"/>
    <col min="5" max="5" width="3.5703125" customWidth="1"/>
    <col min="6" max="6" width="34.7109375" bestFit="1" customWidth="1"/>
    <col min="7" max="7" width="10" customWidth="1"/>
    <col min="8" max="8" width="10.140625" customWidth="1"/>
    <col min="9" max="10" width="10" customWidth="1"/>
    <col min="11" max="11" width="10.7109375" bestFit="1" customWidth="1"/>
    <col min="12" max="12" width="11.140625" bestFit="1" customWidth="1"/>
    <col min="13" max="13" width="10.42578125" bestFit="1" customWidth="1"/>
    <col min="14" max="14" width="11.140625" bestFit="1" customWidth="1"/>
    <col min="15" max="18" width="10.28515625" customWidth="1"/>
    <col min="19" max="61" width="9.5703125" bestFit="1" customWidth="1"/>
  </cols>
  <sheetData>
    <row r="1" spans="1:256">
      <c r="A1" s="9"/>
      <c r="B1" s="276"/>
      <c r="C1" s="276"/>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189"/>
      <c r="BK1" s="189"/>
      <c r="BL1" s="189"/>
      <c r="BM1" s="189"/>
      <c r="BN1" s="189"/>
      <c r="BO1" s="189"/>
    </row>
    <row r="2" spans="1:256" ht="15.75">
      <c r="A2" s="9"/>
      <c r="B2" s="57" t="s">
        <v>79</v>
      </c>
      <c r="C2" s="276"/>
      <c r="D2" s="9"/>
      <c r="E2" s="9"/>
      <c r="F2" s="9"/>
      <c r="G2" s="9"/>
      <c r="H2" s="9"/>
      <c r="I2" s="9"/>
      <c r="J2" s="9"/>
      <c r="K2" s="9"/>
      <c r="L2" s="9"/>
      <c r="M2" s="9"/>
      <c r="N2" s="9"/>
      <c r="O2" s="9"/>
      <c r="P2" s="9"/>
      <c r="Q2" s="9"/>
      <c r="R2" s="9"/>
      <c r="S2" s="9"/>
      <c r="T2" s="9"/>
      <c r="U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9"/>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6"/>
      <c r="BK3" s="206"/>
      <c r="BL3" s="206"/>
      <c r="BM3" s="206"/>
      <c r="BN3" s="206"/>
      <c r="BO3" s="20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279"/>
      <c r="D4" s="82"/>
      <c r="E4" s="82"/>
      <c r="F4" s="410" t="s">
        <v>193</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180" t="s">
        <v>71</v>
      </c>
      <c r="C5" s="280"/>
      <c r="D5" s="74"/>
      <c r="E5" s="74"/>
      <c r="F5" s="84"/>
      <c r="G5" s="85"/>
      <c r="H5" s="85"/>
      <c r="I5" s="85"/>
      <c r="J5" s="85"/>
      <c r="K5" s="85"/>
      <c r="L5" s="85"/>
      <c r="M5" s="85"/>
      <c r="N5" s="85"/>
      <c r="O5" s="85"/>
      <c r="P5" s="85"/>
      <c r="Q5" s="85"/>
      <c r="R5" s="85"/>
      <c r="S5" s="85"/>
      <c r="T5" s="107"/>
      <c r="U5" s="107"/>
      <c r="V5" s="107"/>
      <c r="W5" s="107"/>
      <c r="X5" s="107"/>
      <c r="Y5" s="107"/>
      <c r="Z5" s="107"/>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row>
    <row r="6" spans="1:256" s="189" customFormat="1">
      <c r="A6" s="12"/>
      <c r="B6" s="277"/>
      <c r="C6" s="281"/>
      <c r="D6" s="12"/>
      <c r="E6" s="12"/>
      <c r="F6" s="115"/>
      <c r="G6" s="107"/>
      <c r="H6" s="107"/>
      <c r="I6" s="107"/>
      <c r="J6" s="107"/>
      <c r="K6" s="107"/>
      <c r="L6" s="107"/>
      <c r="M6" s="107"/>
      <c r="N6" s="107"/>
      <c r="O6" s="107"/>
      <c r="P6" s="107"/>
      <c r="Q6" s="107"/>
      <c r="R6" s="107"/>
      <c r="S6" s="107"/>
      <c r="T6" s="107"/>
      <c r="U6" s="107"/>
      <c r="V6" s="107"/>
      <c r="W6" s="107"/>
      <c r="X6" s="107"/>
      <c r="Y6" s="107"/>
      <c r="Z6" s="107"/>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row>
    <row r="7" spans="1:256" s="189" customFormat="1">
      <c r="A7" s="9"/>
      <c r="B7" s="154" t="s">
        <v>70</v>
      </c>
      <c r="C7" s="276"/>
      <c r="D7" s="9"/>
      <c r="E7" s="9"/>
      <c r="G7" s="199">
        <f>SUM(G8:G37)</f>
        <v>709.15406741386494</v>
      </c>
      <c r="H7" s="116">
        <f t="shared" ref="H7:R7" si="1">SUM(H8:H37)</f>
        <v>775.18130078693991</v>
      </c>
      <c r="I7" s="116">
        <f t="shared" si="1"/>
        <v>874.10796958450317</v>
      </c>
      <c r="J7" s="116">
        <f t="shared" si="1"/>
        <v>946.28069303762493</v>
      </c>
      <c r="K7" s="116">
        <f t="shared" si="1"/>
        <v>1030.8478075503854</v>
      </c>
      <c r="L7" s="116">
        <f t="shared" si="1"/>
        <v>1128.6208530118424</v>
      </c>
      <c r="M7" s="116">
        <f t="shared" si="1"/>
        <v>1245.6728502383476</v>
      </c>
      <c r="N7" s="116">
        <f t="shared" si="1"/>
        <v>1181.5979075998478</v>
      </c>
      <c r="O7" s="116">
        <f t="shared" si="1"/>
        <v>1124.0937026410575</v>
      </c>
      <c r="P7" s="116">
        <f t="shared" si="1"/>
        <v>1071.5993774275141</v>
      </c>
      <c r="Q7" s="116">
        <f t="shared" si="1"/>
        <v>1023.0982182840877</v>
      </c>
      <c r="R7" s="116">
        <f t="shared" si="1"/>
        <v>977.90800785486749</v>
      </c>
      <c r="S7" s="107"/>
      <c r="T7" s="107"/>
      <c r="U7" s="107"/>
      <c r="V7" s="107"/>
      <c r="W7" s="107"/>
      <c r="X7" s="107"/>
      <c r="Y7" s="107"/>
      <c r="Z7" s="107"/>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row>
    <row r="8" spans="1:256" s="189" customFormat="1" hidden="1" outlineLevel="1">
      <c r="A8" s="9"/>
      <c r="B8" s="276"/>
      <c r="C8" s="282" t="str">
        <f>Input!S7</f>
        <v>Group 1</v>
      </c>
      <c r="D8" s="9"/>
      <c r="E8" s="9"/>
      <c r="F8" s="9"/>
      <c r="G8" s="193"/>
      <c r="H8" s="112"/>
      <c r="I8" s="112"/>
      <c r="J8" s="112"/>
      <c r="K8" s="112"/>
      <c r="L8" s="112"/>
      <c r="M8" s="112"/>
      <c r="N8" s="112"/>
      <c r="O8" s="112"/>
      <c r="P8" s="112"/>
      <c r="Q8" s="112"/>
      <c r="R8" s="112"/>
      <c r="S8" s="292"/>
      <c r="T8" s="107"/>
      <c r="U8" s="107"/>
      <c r="V8" s="107"/>
      <c r="W8" s="107"/>
      <c r="X8" s="107"/>
      <c r="Y8" s="107"/>
      <c r="Z8" s="107"/>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row>
    <row r="9" spans="1:256" s="189" customFormat="1" hidden="1" outlineLevel="1">
      <c r="A9" s="9"/>
      <c r="B9" s="154"/>
      <c r="C9" s="282" t="str">
        <f>Input!S8</f>
        <v>Land</v>
      </c>
      <c r="D9" s="9"/>
      <c r="E9" s="9"/>
      <c r="F9" s="451" t="s">
        <v>120</v>
      </c>
      <c r="G9" s="193">
        <f>Input!U8</f>
        <v>34.523225351264784</v>
      </c>
      <c r="H9" s="112">
        <f>G9+G41+G73</f>
        <v>34.523225351264784</v>
      </c>
      <c r="I9" s="112">
        <f t="shared" ref="I9:Q9" si="2">H9+H41+H73</f>
        <v>34.523225351264784</v>
      </c>
      <c r="J9" s="112">
        <f t="shared" si="2"/>
        <v>34.523225351264784</v>
      </c>
      <c r="K9" s="112">
        <f t="shared" si="2"/>
        <v>34.523225351264784</v>
      </c>
      <c r="L9" s="112">
        <f t="shared" si="2"/>
        <v>34.523225351264784</v>
      </c>
      <c r="M9" s="112">
        <f t="shared" si="2"/>
        <v>34.523225351264784</v>
      </c>
      <c r="N9" s="112">
        <f t="shared" si="2"/>
        <v>34.523225351264784</v>
      </c>
      <c r="O9" s="112">
        <f t="shared" si="2"/>
        <v>34.523225351264784</v>
      </c>
      <c r="P9" s="112">
        <f t="shared" si="2"/>
        <v>34.523225351264784</v>
      </c>
      <c r="Q9" s="112">
        <f t="shared" si="2"/>
        <v>34.523225351264784</v>
      </c>
      <c r="R9" s="112">
        <f>Q9+Q41+Q73</f>
        <v>34.523225351264784</v>
      </c>
      <c r="S9" s="292"/>
      <c r="T9" s="107"/>
      <c r="U9" s="107"/>
      <c r="V9" s="107"/>
      <c r="W9" s="107"/>
      <c r="X9" s="107"/>
      <c r="Y9" s="107"/>
      <c r="Z9" s="107"/>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row>
    <row r="10" spans="1:256" s="189" customFormat="1" hidden="1" outlineLevel="1">
      <c r="A10" s="9"/>
      <c r="B10" s="154"/>
      <c r="C10" s="282" t="str">
        <f>Input!S9</f>
        <v>6.7 to 10 yrs</v>
      </c>
      <c r="D10" s="9"/>
      <c r="E10" s="9"/>
      <c r="F10" s="411" t="s">
        <v>194</v>
      </c>
      <c r="G10" s="193">
        <f>Input!U9</f>
        <v>0</v>
      </c>
      <c r="H10" s="112">
        <f t="shared" ref="H10:Q13" si="3">G10+G42+G74</f>
        <v>0</v>
      </c>
      <c r="I10" s="112">
        <f t="shared" si="3"/>
        <v>0</v>
      </c>
      <c r="J10" s="112">
        <f t="shared" si="3"/>
        <v>0</v>
      </c>
      <c r="K10" s="112">
        <f t="shared" si="3"/>
        <v>0</v>
      </c>
      <c r="L10" s="112">
        <f t="shared" si="3"/>
        <v>0</v>
      </c>
      <c r="M10" s="112">
        <f t="shared" si="3"/>
        <v>0</v>
      </c>
      <c r="N10" s="112">
        <f t="shared" si="3"/>
        <v>0</v>
      </c>
      <c r="O10" s="112">
        <f t="shared" si="3"/>
        <v>0</v>
      </c>
      <c r="P10" s="112">
        <f t="shared" si="3"/>
        <v>0</v>
      </c>
      <c r="Q10" s="112">
        <f t="shared" si="3"/>
        <v>0</v>
      </c>
      <c r="R10" s="112">
        <f>Q10+Q42+Q74</f>
        <v>0</v>
      </c>
      <c r="S10" s="292"/>
      <c r="T10" s="107"/>
      <c r="U10" s="107"/>
      <c r="V10" s="107"/>
      <c r="W10" s="107"/>
      <c r="X10" s="107"/>
      <c r="Y10" s="107"/>
      <c r="Z10" s="107"/>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row>
    <row r="11" spans="1:256" s="189" customFormat="1" hidden="1" outlineLevel="1">
      <c r="A11" s="9"/>
      <c r="B11" s="154"/>
      <c r="C11" s="282" t="str">
        <f>Input!S10</f>
        <v>10 to 13 yrs</v>
      </c>
      <c r="D11" s="9"/>
      <c r="E11" s="9"/>
      <c r="F11" s="411" t="s">
        <v>194</v>
      </c>
      <c r="G11" s="193">
        <f>Input!U10</f>
        <v>1.0784058225727597</v>
      </c>
      <c r="H11" s="112">
        <f t="shared" si="3"/>
        <v>0.80880436692956981</v>
      </c>
      <c r="I11" s="112">
        <f t="shared" si="3"/>
        <v>0.60660327519717738</v>
      </c>
      <c r="J11" s="112">
        <f t="shared" si="3"/>
        <v>0.45495245639788306</v>
      </c>
      <c r="K11" s="112">
        <f t="shared" si="3"/>
        <v>0.3412143422984123</v>
      </c>
      <c r="L11" s="112">
        <f t="shared" si="3"/>
        <v>0.25591075672380925</v>
      </c>
      <c r="M11" s="112">
        <f t="shared" si="3"/>
        <v>0.19193306754285694</v>
      </c>
      <c r="N11" s="112">
        <f t="shared" si="3"/>
        <v>0.14394980065714269</v>
      </c>
      <c r="O11" s="112">
        <f t="shared" si="3"/>
        <v>0.10796235049285702</v>
      </c>
      <c r="P11" s="112">
        <f t="shared" si="3"/>
        <v>8.0971762869642763E-2</v>
      </c>
      <c r="Q11" s="112">
        <f t="shared" si="3"/>
        <v>6.0728822152232076E-2</v>
      </c>
      <c r="R11" s="112">
        <f>Q11+Q43+Q75</f>
        <v>4.5546616614174057E-2</v>
      </c>
      <c r="S11" s="292"/>
      <c r="T11" s="107"/>
      <c r="U11" s="107"/>
      <c r="V11" s="107"/>
      <c r="W11" s="107"/>
      <c r="X11" s="107"/>
      <c r="Y11" s="107"/>
      <c r="Z11" s="107"/>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row>
    <row r="12" spans="1:256" s="189" customFormat="1" hidden="1" outlineLevel="1">
      <c r="A12" s="9"/>
      <c r="B12" s="154"/>
      <c r="C12" s="282" t="str">
        <f>Input!S11</f>
        <v>13 to 30yrs</v>
      </c>
      <c r="D12" s="9"/>
      <c r="E12" s="9"/>
      <c r="F12" s="411" t="s">
        <v>194</v>
      </c>
      <c r="G12" s="193">
        <f>Input!U11</f>
        <v>1.306811033109994</v>
      </c>
      <c r="H12" s="112">
        <f t="shared" si="3"/>
        <v>1.0454488264879953</v>
      </c>
      <c r="I12" s="112">
        <f t="shared" si="3"/>
        <v>0.83635906119039627</v>
      </c>
      <c r="J12" s="112">
        <f t="shared" si="3"/>
        <v>0.66908724895231697</v>
      </c>
      <c r="K12" s="112">
        <f t="shared" si="3"/>
        <v>0.53526979916185358</v>
      </c>
      <c r="L12" s="112">
        <f t="shared" si="3"/>
        <v>0.42821583932948287</v>
      </c>
      <c r="M12" s="112">
        <f t="shared" si="3"/>
        <v>0.34257267146358628</v>
      </c>
      <c r="N12" s="112">
        <f t="shared" si="3"/>
        <v>0.27405813717086902</v>
      </c>
      <c r="O12" s="112">
        <f t="shared" si="3"/>
        <v>0.21924650973669521</v>
      </c>
      <c r="P12" s="112">
        <f t="shared" si="3"/>
        <v>0.17539720778935616</v>
      </c>
      <c r="Q12" s="112">
        <f t="shared" si="3"/>
        <v>0.14031776623148492</v>
      </c>
      <c r="R12" s="112">
        <f>Q12+Q44+Q76</f>
        <v>0.11225421298518794</v>
      </c>
      <c r="S12" s="292"/>
      <c r="T12" s="107"/>
      <c r="U12" s="107"/>
      <c r="V12" s="107"/>
      <c r="W12" s="107"/>
      <c r="X12" s="107"/>
      <c r="Y12" s="107"/>
      <c r="Z12" s="107"/>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row>
    <row r="13" spans="1:256" s="189" customFormat="1" hidden="1" outlineLevel="1">
      <c r="A13" s="9"/>
      <c r="B13" s="154"/>
      <c r="C13" s="282" t="str">
        <f>Input!S12</f>
        <v>&gt; 30 years</v>
      </c>
      <c r="D13" s="9"/>
      <c r="E13" s="9"/>
      <c r="F13" s="411" t="s">
        <v>194</v>
      </c>
      <c r="G13" s="193">
        <f>Input!U12</f>
        <v>122.74843206341653</v>
      </c>
      <c r="H13" s="112">
        <f t="shared" si="3"/>
        <v>110.47358885707487</v>
      </c>
      <c r="I13" s="112">
        <f t="shared" si="3"/>
        <v>99.426229971367377</v>
      </c>
      <c r="J13" s="112">
        <f t="shared" si="3"/>
        <v>89.483606974230639</v>
      </c>
      <c r="K13" s="112">
        <f t="shared" si="3"/>
        <v>80.53524627680757</v>
      </c>
      <c r="L13" s="112">
        <f t="shared" si="3"/>
        <v>72.481721649126811</v>
      </c>
      <c r="M13" s="112">
        <f t="shared" si="3"/>
        <v>65.233549484214137</v>
      </c>
      <c r="N13" s="112">
        <f t="shared" si="3"/>
        <v>58.710194535792724</v>
      </c>
      <c r="O13" s="112">
        <f t="shared" si="3"/>
        <v>52.839175082213451</v>
      </c>
      <c r="P13" s="112">
        <f t="shared" si="3"/>
        <v>47.555257573992108</v>
      </c>
      <c r="Q13" s="112">
        <f t="shared" si="3"/>
        <v>42.799731816592896</v>
      </c>
      <c r="R13" s="112">
        <f>Q13+Q45+Q77</f>
        <v>38.519758634933609</v>
      </c>
      <c r="S13" s="107"/>
      <c r="T13" s="107"/>
      <c r="U13" s="107"/>
      <c r="V13" s="107"/>
      <c r="W13" s="107"/>
      <c r="X13" s="107"/>
      <c r="Y13" s="107"/>
      <c r="Z13" s="107"/>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row>
    <row r="14" spans="1:256" s="189" customFormat="1" hidden="1" outlineLevel="1">
      <c r="A14" s="9"/>
      <c r="B14" s="154"/>
      <c r="C14" s="282"/>
      <c r="D14" s="9"/>
      <c r="E14" s="9"/>
      <c r="F14" s="411"/>
      <c r="G14" s="193"/>
      <c r="H14" s="112"/>
      <c r="I14" s="112"/>
      <c r="J14" s="112"/>
      <c r="K14" s="112"/>
      <c r="L14" s="112"/>
      <c r="M14" s="112"/>
      <c r="N14" s="112"/>
      <c r="O14" s="112"/>
      <c r="P14" s="112"/>
      <c r="Q14" s="112"/>
      <c r="R14" s="112"/>
      <c r="S14" s="107"/>
      <c r="T14" s="107"/>
      <c r="U14" s="107"/>
      <c r="V14" s="107"/>
      <c r="W14" s="107"/>
      <c r="X14" s="107"/>
      <c r="Y14" s="107"/>
      <c r="Z14" s="107"/>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row>
    <row r="15" spans="1:256" s="189" customFormat="1" hidden="1" outlineLevel="1">
      <c r="A15" s="9"/>
      <c r="B15" s="154"/>
      <c r="C15" s="282" t="str">
        <f>Input!S14</f>
        <v>Group 2</v>
      </c>
      <c r="D15" s="9"/>
      <c r="E15" s="9"/>
      <c r="F15" s="411"/>
      <c r="G15" s="193"/>
      <c r="H15" s="112"/>
      <c r="I15" s="112"/>
      <c r="J15" s="112"/>
      <c r="K15" s="112"/>
      <c r="L15" s="112"/>
      <c r="M15" s="112"/>
      <c r="N15" s="112"/>
      <c r="O15" s="112"/>
      <c r="P15" s="112"/>
      <c r="Q15" s="112"/>
      <c r="R15" s="112"/>
      <c r="S15" s="107"/>
      <c r="T15" s="107"/>
      <c r="U15" s="107"/>
      <c r="V15" s="107"/>
      <c r="W15" s="107"/>
      <c r="X15" s="107"/>
      <c r="Y15" s="107"/>
      <c r="Z15" s="107"/>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row>
    <row r="16" spans="1:256" s="189" customFormat="1" hidden="1" outlineLevel="1">
      <c r="A16" s="9"/>
      <c r="B16" s="154"/>
      <c r="C16" s="282" t="str">
        <f>Input!S15</f>
        <v>Demand related capital expenditure</v>
      </c>
      <c r="D16" s="9"/>
      <c r="E16" s="9"/>
      <c r="F16" s="411" t="s">
        <v>194</v>
      </c>
      <c r="G16" s="193">
        <f>Input!U15</f>
        <v>229.79613338020198</v>
      </c>
      <c r="H16" s="112">
        <f t="shared" ref="H16:R16" si="4">G16+G48+G80</f>
        <v>222.90224937879591</v>
      </c>
      <c r="I16" s="112">
        <f t="shared" si="4"/>
        <v>216.21518189743205</v>
      </c>
      <c r="J16" s="112">
        <f t="shared" si="4"/>
        <v>209.72872644050909</v>
      </c>
      <c r="K16" s="112">
        <f t="shared" si="4"/>
        <v>203.43686464729382</v>
      </c>
      <c r="L16" s="112">
        <f t="shared" si="4"/>
        <v>197.33375870787501</v>
      </c>
      <c r="M16" s="112">
        <f t="shared" si="4"/>
        <v>191.41374594663876</v>
      </c>
      <c r="N16" s="112">
        <f t="shared" si="4"/>
        <v>185.67133356823959</v>
      </c>
      <c r="O16" s="112">
        <f t="shared" si="4"/>
        <v>180.10119356119239</v>
      </c>
      <c r="P16" s="112">
        <f t="shared" si="4"/>
        <v>174.69815775435663</v>
      </c>
      <c r="Q16" s="112">
        <f t="shared" si="4"/>
        <v>169.45721302172592</v>
      </c>
      <c r="R16" s="112">
        <f t="shared" si="4"/>
        <v>164.37349663107415</v>
      </c>
      <c r="S16" s="107"/>
      <c r="T16" s="107"/>
      <c r="U16" s="107"/>
      <c r="V16" s="107"/>
      <c r="W16" s="107"/>
      <c r="X16" s="107"/>
      <c r="Y16" s="107"/>
      <c r="Z16" s="107"/>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row>
    <row r="17" spans="1:61" s="189" customFormat="1" hidden="1" outlineLevel="1">
      <c r="A17" s="9"/>
      <c r="B17" s="154"/>
      <c r="C17" s="282" t="str">
        <f>Input!S16</f>
        <v>Replacement expenditure (Group 1)</v>
      </c>
      <c r="D17" s="9"/>
      <c r="E17" s="9"/>
      <c r="F17" s="411" t="s">
        <v>194</v>
      </c>
      <c r="G17" s="193">
        <f>Input!U16</f>
        <v>0</v>
      </c>
      <c r="H17" s="112">
        <f t="shared" ref="H17:R17" si="5">G17+G49+G81</f>
        <v>0</v>
      </c>
      <c r="I17" s="112">
        <f t="shared" si="5"/>
        <v>0</v>
      </c>
      <c r="J17" s="112">
        <f t="shared" si="5"/>
        <v>0</v>
      </c>
      <c r="K17" s="112">
        <f t="shared" si="5"/>
        <v>0</v>
      </c>
      <c r="L17" s="112">
        <f t="shared" si="5"/>
        <v>0</v>
      </c>
      <c r="M17" s="112">
        <f t="shared" si="5"/>
        <v>0</v>
      </c>
      <c r="N17" s="112">
        <f t="shared" si="5"/>
        <v>0</v>
      </c>
      <c r="O17" s="112">
        <f t="shared" si="5"/>
        <v>0</v>
      </c>
      <c r="P17" s="112">
        <f t="shared" si="5"/>
        <v>0</v>
      </c>
      <c r="Q17" s="112">
        <f t="shared" si="5"/>
        <v>0</v>
      </c>
      <c r="R17" s="112">
        <f t="shared" si="5"/>
        <v>0</v>
      </c>
      <c r="S17" s="107"/>
      <c r="T17" s="107"/>
      <c r="U17" s="107"/>
      <c r="V17" s="107"/>
      <c r="W17" s="107"/>
      <c r="X17" s="107"/>
      <c r="Y17" s="107"/>
      <c r="Z17" s="107"/>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row>
    <row r="18" spans="1:61" s="189" customFormat="1" hidden="1" outlineLevel="1">
      <c r="A18" s="9"/>
      <c r="B18" s="154"/>
      <c r="C18" s="282" t="str">
        <f>Input!S17</f>
        <v>Replacement expenditure (Group 2)</v>
      </c>
      <c r="D18" s="9"/>
      <c r="E18" s="9"/>
      <c r="F18" s="411" t="s">
        <v>194</v>
      </c>
      <c r="G18" s="193">
        <f>Input!U17</f>
        <v>5.2874755813347587</v>
      </c>
      <c r="H18" s="112">
        <f t="shared" ref="H18:R18" si="6">G18+G50+G82</f>
        <v>4.8909149127346518</v>
      </c>
      <c r="I18" s="112">
        <f t="shared" si="6"/>
        <v>4.5240962942795528</v>
      </c>
      <c r="J18" s="112">
        <f t="shared" si="6"/>
        <v>4.1847890722085861</v>
      </c>
      <c r="K18" s="112">
        <f t="shared" si="6"/>
        <v>3.870929891792942</v>
      </c>
      <c r="L18" s="112">
        <f t="shared" si="6"/>
        <v>3.5806101499084715</v>
      </c>
      <c r="M18" s="112">
        <f t="shared" si="6"/>
        <v>3.3120643886653363</v>
      </c>
      <c r="N18" s="112">
        <f t="shared" si="6"/>
        <v>3.0636595595154361</v>
      </c>
      <c r="O18" s="112">
        <f t="shared" si="6"/>
        <v>2.8338850925517782</v>
      </c>
      <c r="P18" s="112">
        <f t="shared" si="6"/>
        <v>2.621343710610395</v>
      </c>
      <c r="Q18" s="112">
        <f t="shared" si="6"/>
        <v>2.4247429323146155</v>
      </c>
      <c r="R18" s="112">
        <f t="shared" si="6"/>
        <v>2.2428872123910195</v>
      </c>
      <c r="S18" s="107"/>
      <c r="T18" s="107"/>
      <c r="U18" s="107"/>
      <c r="V18" s="107"/>
      <c r="W18" s="107"/>
      <c r="X18" s="107"/>
      <c r="Y18" s="107"/>
      <c r="Z18" s="107"/>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row>
    <row r="19" spans="1:61" s="189" customFormat="1" hidden="1" outlineLevel="1">
      <c r="A19" s="9"/>
      <c r="B19" s="154"/>
      <c r="C19" s="282" t="str">
        <f>Input!S18</f>
        <v>Replacement expenditure (Group 3)</v>
      </c>
      <c r="D19" s="9"/>
      <c r="E19" s="9"/>
      <c r="F19" s="411" t="s">
        <v>194</v>
      </c>
      <c r="G19" s="193">
        <f>Input!U18</f>
        <v>10.96359835086661</v>
      </c>
      <c r="H19" s="112">
        <f t="shared" ref="H19:R19" si="7">G19+G51+G83</f>
        <v>10.634690400340611</v>
      </c>
      <c r="I19" s="112">
        <f t="shared" si="7"/>
        <v>10.315649688330392</v>
      </c>
      <c r="J19" s="112">
        <f t="shared" si="7"/>
        <v>10.006180197680481</v>
      </c>
      <c r="K19" s="112">
        <f t="shared" si="7"/>
        <v>9.7059947917500669</v>
      </c>
      <c r="L19" s="112">
        <f t="shared" si="7"/>
        <v>9.4148149479975647</v>
      </c>
      <c r="M19" s="112">
        <f t="shared" si="7"/>
        <v>9.1323704995576378</v>
      </c>
      <c r="N19" s="112">
        <f t="shared" si="7"/>
        <v>8.8583993845709088</v>
      </c>
      <c r="O19" s="112">
        <f t="shared" si="7"/>
        <v>8.5926474030337818</v>
      </c>
      <c r="P19" s="112">
        <f t="shared" si="7"/>
        <v>8.3348679809427679</v>
      </c>
      <c r="Q19" s="112">
        <f t="shared" si="7"/>
        <v>8.0848219415144857</v>
      </c>
      <c r="R19" s="112">
        <f t="shared" si="7"/>
        <v>7.842277283269051</v>
      </c>
      <c r="S19" s="107"/>
      <c r="T19" s="107"/>
      <c r="U19" s="107"/>
      <c r="V19" s="107"/>
      <c r="W19" s="107"/>
      <c r="X19" s="107"/>
      <c r="Y19" s="107"/>
      <c r="Z19" s="107"/>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row>
    <row r="20" spans="1:61" s="189" customFormat="1" hidden="1" outlineLevel="1">
      <c r="A20" s="9"/>
      <c r="B20" s="154"/>
      <c r="C20" s="282" t="str">
        <f>Input!S19</f>
        <v>Environment, safety &amp; legal</v>
      </c>
      <c r="D20" s="9"/>
      <c r="E20" s="9"/>
      <c r="F20" s="411" t="s">
        <v>194</v>
      </c>
      <c r="G20" s="193">
        <f>Input!U19</f>
        <v>2.8493815964865532</v>
      </c>
      <c r="H20" s="112">
        <f t="shared" ref="H20:R20" si="8">G20+G52+G84</f>
        <v>2.6356779767500615</v>
      </c>
      <c r="I20" s="112">
        <f t="shared" si="8"/>
        <v>2.4380021284938067</v>
      </c>
      <c r="J20" s="112">
        <f t="shared" si="8"/>
        <v>2.2551519688567714</v>
      </c>
      <c r="K20" s="112">
        <f t="shared" si="8"/>
        <v>2.0860155711925135</v>
      </c>
      <c r="L20" s="112">
        <f t="shared" si="8"/>
        <v>1.929564403353075</v>
      </c>
      <c r="M20" s="112">
        <f t="shared" si="8"/>
        <v>1.7848470731015944</v>
      </c>
      <c r="N20" s="112">
        <f t="shared" si="8"/>
        <v>1.6509835426189747</v>
      </c>
      <c r="O20" s="112">
        <f t="shared" si="8"/>
        <v>1.5271597769225516</v>
      </c>
      <c r="P20" s="112">
        <f t="shared" si="8"/>
        <v>1.4126227936533602</v>
      </c>
      <c r="Q20" s="112">
        <f t="shared" si="8"/>
        <v>1.3066760841293581</v>
      </c>
      <c r="R20" s="112">
        <f t="shared" si="8"/>
        <v>1.2086753778196562</v>
      </c>
      <c r="S20" s="107"/>
      <c r="T20" s="107"/>
      <c r="U20" s="107"/>
      <c r="V20" s="107"/>
      <c r="W20" s="107"/>
      <c r="X20" s="107"/>
      <c r="Y20" s="107"/>
      <c r="Z20" s="107"/>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row>
    <row r="21" spans="1:61" s="189" customFormat="1" hidden="1" outlineLevel="1">
      <c r="A21" s="9"/>
      <c r="B21" s="154"/>
      <c r="C21" s="282" t="str">
        <f>Input!S20</f>
        <v>Standard metering (Group 1)</v>
      </c>
      <c r="D21" s="9"/>
      <c r="E21" s="9"/>
      <c r="F21" s="411" t="s">
        <v>186</v>
      </c>
      <c r="G21" s="193">
        <f>Input!U20</f>
        <v>0.40696702768464771</v>
      </c>
      <c r="H21" s="112">
        <f t="shared" ref="H21:R21" si="9">G21+G53+G85</f>
        <v>0.2543543923029048</v>
      </c>
      <c r="I21" s="112">
        <f t="shared" si="9"/>
        <v>0.1589714951893155</v>
      </c>
      <c r="J21" s="112">
        <f t="shared" si="9"/>
        <v>9.935718449332219E-2</v>
      </c>
      <c r="K21" s="112">
        <f t="shared" si="9"/>
        <v>6.209824030832637E-2</v>
      </c>
      <c r="L21" s="112">
        <f t="shared" si="9"/>
        <v>3.8811400192703981E-2</v>
      </c>
      <c r="M21" s="112">
        <f t="shared" si="9"/>
        <v>2.4257125120439989E-2</v>
      </c>
      <c r="N21" s="112">
        <f t="shared" si="9"/>
        <v>1.5160703200274992E-2</v>
      </c>
      <c r="O21" s="112">
        <f t="shared" si="9"/>
        <v>9.4754395001718696E-3</v>
      </c>
      <c r="P21" s="112">
        <f t="shared" si="9"/>
        <v>5.9221496876074187E-3</v>
      </c>
      <c r="Q21" s="112">
        <f t="shared" si="9"/>
        <v>3.7013435547546365E-3</v>
      </c>
      <c r="R21" s="112">
        <f t="shared" si="9"/>
        <v>2.3133397217216479E-3</v>
      </c>
      <c r="S21" s="107"/>
      <c r="T21" s="107"/>
      <c r="U21" s="107"/>
      <c r="V21" s="107"/>
      <c r="W21" s="107"/>
      <c r="X21" s="107"/>
      <c r="Y21" s="107"/>
      <c r="Z21" s="107"/>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row>
    <row r="22" spans="1:61" s="189" customFormat="1" hidden="1" outlineLevel="1">
      <c r="A22" s="9"/>
      <c r="B22" s="154"/>
      <c r="C22" s="282" t="str">
        <f>Input!S21</f>
        <v>Standard metering (Group 2)</v>
      </c>
      <c r="D22" s="9"/>
      <c r="E22" s="9"/>
      <c r="F22" s="411" t="s">
        <v>186</v>
      </c>
      <c r="G22" s="193">
        <f>Input!U21</f>
        <v>0</v>
      </c>
      <c r="H22" s="112">
        <f t="shared" ref="H22:R22" si="10">G22+G54+G86</f>
        <v>0</v>
      </c>
      <c r="I22" s="112">
        <f t="shared" si="10"/>
        <v>0</v>
      </c>
      <c r="J22" s="112">
        <f t="shared" si="10"/>
        <v>0</v>
      </c>
      <c r="K22" s="112">
        <f t="shared" si="10"/>
        <v>0</v>
      </c>
      <c r="L22" s="112">
        <f t="shared" si="10"/>
        <v>0</v>
      </c>
      <c r="M22" s="112">
        <f t="shared" si="10"/>
        <v>0</v>
      </c>
      <c r="N22" s="112">
        <f t="shared" si="10"/>
        <v>0</v>
      </c>
      <c r="O22" s="112">
        <f t="shared" si="10"/>
        <v>0</v>
      </c>
      <c r="P22" s="112">
        <f t="shared" si="10"/>
        <v>0</v>
      </c>
      <c r="Q22" s="112">
        <f t="shared" si="10"/>
        <v>0</v>
      </c>
      <c r="R22" s="112">
        <f t="shared" si="10"/>
        <v>0</v>
      </c>
      <c r="S22" s="107"/>
      <c r="T22" s="107"/>
      <c r="U22" s="107"/>
      <c r="V22" s="107"/>
      <c r="W22" s="107"/>
      <c r="X22" s="107"/>
      <c r="Y22" s="107"/>
      <c r="Z22" s="107"/>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row>
    <row r="23" spans="1:61" s="189" customFormat="1" hidden="1" outlineLevel="1">
      <c r="A23" s="9"/>
      <c r="B23" s="154"/>
      <c r="C23" s="282" t="str">
        <f>Input!S22</f>
        <v>SCADA/Network control</v>
      </c>
      <c r="D23" s="9"/>
      <c r="E23" s="9"/>
      <c r="F23" s="411" t="s">
        <v>133</v>
      </c>
      <c r="G23" s="193">
        <f>Input!U22</f>
        <v>6.2905541210582863</v>
      </c>
      <c r="H23" s="112">
        <f t="shared" ref="H23:R23" si="11">G23+G55+G87</f>
        <v>5.8187625619789145</v>
      </c>
      <c r="I23" s="112">
        <f t="shared" si="11"/>
        <v>5.3823553698304956</v>
      </c>
      <c r="J23" s="112">
        <f t="shared" si="11"/>
        <v>4.9786787170932083</v>
      </c>
      <c r="K23" s="112">
        <f t="shared" si="11"/>
        <v>4.6052778133112175</v>
      </c>
      <c r="L23" s="112">
        <f t="shared" si="11"/>
        <v>4.259881977312876</v>
      </c>
      <c r="M23" s="112">
        <f t="shared" si="11"/>
        <v>3.9403908290144103</v>
      </c>
      <c r="N23" s="112">
        <f t="shared" si="11"/>
        <v>3.6448615168383296</v>
      </c>
      <c r="O23" s="112">
        <f t="shared" si="11"/>
        <v>3.3714969030754549</v>
      </c>
      <c r="P23" s="112">
        <f t="shared" si="11"/>
        <v>3.1186346353447956</v>
      </c>
      <c r="Q23" s="112">
        <f t="shared" si="11"/>
        <v>2.8847370376939359</v>
      </c>
      <c r="R23" s="112">
        <f t="shared" si="11"/>
        <v>2.6683817598668909</v>
      </c>
      <c r="S23" s="107"/>
      <c r="T23" s="107"/>
      <c r="U23" s="107"/>
      <c r="V23" s="107"/>
      <c r="W23" s="107"/>
      <c r="X23" s="107"/>
      <c r="Y23" s="107"/>
      <c r="Z23" s="107"/>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row>
    <row r="24" spans="1:61" s="189" customFormat="1" hidden="1" outlineLevel="1">
      <c r="A24" s="9"/>
      <c r="B24" s="154"/>
      <c r="C24" s="282" t="str">
        <f>Input!S23</f>
        <v>Non-network general assets - IT</v>
      </c>
      <c r="D24" s="9"/>
      <c r="E24" s="9"/>
      <c r="F24" s="411" t="s">
        <v>134</v>
      </c>
      <c r="G24" s="193">
        <f>Input!U23</f>
        <v>2.4540555676672189</v>
      </c>
      <c r="H24" s="112">
        <f t="shared" ref="H24:R24" si="12">G24+G56+G88</f>
        <v>1.4724333406003312</v>
      </c>
      <c r="I24" s="112">
        <f t="shared" si="12"/>
        <v>0.88346000436019867</v>
      </c>
      <c r="J24" s="112">
        <f t="shared" si="12"/>
        <v>0.5300760026161192</v>
      </c>
      <c r="K24" s="112">
        <f t="shared" si="12"/>
        <v>0.31804560156967154</v>
      </c>
      <c r="L24" s="112">
        <f t="shared" si="12"/>
        <v>0.19082736094180291</v>
      </c>
      <c r="M24" s="112">
        <f t="shared" si="12"/>
        <v>0.11449641656508175</v>
      </c>
      <c r="N24" s="112">
        <f t="shared" si="12"/>
        <v>6.8697849939049038E-2</v>
      </c>
      <c r="O24" s="112">
        <f t="shared" si="12"/>
        <v>4.1218709963429426E-2</v>
      </c>
      <c r="P24" s="112">
        <f t="shared" si="12"/>
        <v>2.4731225978057655E-2</v>
      </c>
      <c r="Q24" s="112">
        <f t="shared" si="12"/>
        <v>1.4838735586834592E-2</v>
      </c>
      <c r="R24" s="112">
        <f t="shared" si="12"/>
        <v>8.903241352100754E-3</v>
      </c>
      <c r="S24" s="107"/>
      <c r="T24" s="107"/>
      <c r="U24" s="107"/>
      <c r="V24" s="107"/>
      <c r="W24" s="107"/>
      <c r="X24" s="107"/>
      <c r="Y24" s="107"/>
      <c r="Z24" s="107"/>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row>
    <row r="25" spans="1:61" s="189" customFormat="1" hidden="1" outlineLevel="1">
      <c r="A25" s="9"/>
      <c r="B25" s="154"/>
      <c r="C25" s="282" t="str">
        <f>Input!S24</f>
        <v>Non-network general assets - Other</v>
      </c>
      <c r="D25" s="9"/>
      <c r="E25" s="9"/>
      <c r="F25" s="411" t="s">
        <v>135</v>
      </c>
      <c r="G25" s="193">
        <f>Input!U24</f>
        <v>4.42556723259165</v>
      </c>
      <c r="H25" s="112">
        <f t="shared" ref="H25:R25" si="13">G25+G57+G89</f>
        <v>3.6445847797813586</v>
      </c>
      <c r="I25" s="112">
        <f t="shared" si="13"/>
        <v>3.0014227598199423</v>
      </c>
      <c r="J25" s="112">
        <f t="shared" si="13"/>
        <v>2.4717599198517171</v>
      </c>
      <c r="K25" s="112">
        <f t="shared" si="13"/>
        <v>2.0355669928190609</v>
      </c>
      <c r="L25" s="112">
        <f t="shared" si="13"/>
        <v>1.6763492882039326</v>
      </c>
      <c r="M25" s="112">
        <f t="shared" si="13"/>
        <v>1.3805229432267681</v>
      </c>
      <c r="N25" s="112">
        <f t="shared" si="13"/>
        <v>1.1369012473632207</v>
      </c>
      <c r="O25" s="112">
        <f t="shared" si="13"/>
        <v>0.93627161547559357</v>
      </c>
      <c r="P25" s="112">
        <f t="shared" si="13"/>
        <v>0.77104721274460641</v>
      </c>
      <c r="Q25" s="112">
        <f t="shared" si="13"/>
        <v>0.6349800575543818</v>
      </c>
      <c r="R25" s="112">
        <f t="shared" si="13"/>
        <v>0.52292475328007915</v>
      </c>
      <c r="S25" s="107"/>
      <c r="T25" s="107"/>
      <c r="U25" s="107"/>
      <c r="V25" s="107"/>
      <c r="W25" s="107"/>
      <c r="X25" s="107"/>
      <c r="Y25" s="107"/>
      <c r="Z25" s="107"/>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row>
    <row r="26" spans="1:61" s="189" customFormat="1" hidden="1" outlineLevel="1">
      <c r="A26" s="9"/>
      <c r="B26" s="154"/>
      <c r="C26" s="282"/>
      <c r="D26" s="9"/>
      <c r="E26" s="9"/>
      <c r="F26" s="411"/>
      <c r="G26" s="193"/>
      <c r="H26" s="112"/>
      <c r="I26" s="112"/>
      <c r="J26" s="112"/>
      <c r="K26" s="112"/>
      <c r="L26" s="112"/>
      <c r="M26" s="112"/>
      <c r="N26" s="112"/>
      <c r="O26" s="112"/>
      <c r="P26" s="112"/>
      <c r="Q26" s="112"/>
      <c r="R26" s="112"/>
      <c r="S26" s="107"/>
      <c r="T26" s="107"/>
      <c r="U26" s="107"/>
      <c r="V26" s="107"/>
      <c r="W26" s="107"/>
      <c r="X26" s="107"/>
      <c r="Y26" s="107"/>
      <c r="Z26" s="107"/>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row>
    <row r="27" spans="1:61" s="189" customFormat="1" hidden="1" outlineLevel="1">
      <c r="A27" s="9"/>
      <c r="B27" s="154"/>
      <c r="C27" s="282" t="str">
        <f>Input!S26</f>
        <v>Group 3</v>
      </c>
      <c r="D27" s="9"/>
      <c r="E27" s="9"/>
      <c r="F27" s="411"/>
      <c r="G27" s="193"/>
      <c r="H27" s="112"/>
      <c r="I27" s="112"/>
      <c r="J27" s="112"/>
      <c r="K27" s="112"/>
      <c r="L27" s="112"/>
      <c r="M27" s="112"/>
      <c r="N27" s="112"/>
      <c r="O27" s="112"/>
      <c r="P27" s="112"/>
      <c r="Q27" s="112"/>
      <c r="R27" s="112"/>
      <c r="S27" s="107"/>
      <c r="T27" s="107"/>
      <c r="U27" s="107"/>
      <c r="V27" s="107"/>
      <c r="W27" s="107"/>
      <c r="X27" s="107"/>
      <c r="Y27" s="107"/>
      <c r="Z27" s="107"/>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row>
    <row r="28" spans="1:61" s="189" customFormat="1" hidden="1" outlineLevel="1">
      <c r="A28" s="9"/>
      <c r="B28" s="154"/>
      <c r="C28" s="282" t="str">
        <f>Input!S27</f>
        <v>Demand related capital expenditure</v>
      </c>
      <c r="D28" s="9"/>
      <c r="E28" s="9"/>
      <c r="F28" s="411" t="s">
        <v>194</v>
      </c>
      <c r="G28" s="193">
        <f>Input!U27</f>
        <v>227.86920379305462</v>
      </c>
      <c r="H28" s="112">
        <f t="shared" ref="H28:R28" si="14">G28+G60+G92</f>
        <v>294.1022055675158</v>
      </c>
      <c r="I28" s="112">
        <f t="shared" si="14"/>
        <v>397.60969975263106</v>
      </c>
      <c r="J28" s="112">
        <f t="shared" si="14"/>
        <v>473.24593306157612</v>
      </c>
      <c r="K28" s="112">
        <f t="shared" si="14"/>
        <v>555.56661958008146</v>
      </c>
      <c r="L28" s="112">
        <f t="shared" si="14"/>
        <v>648.67205654327608</v>
      </c>
      <c r="M28" s="112">
        <f t="shared" si="14"/>
        <v>754.24777524034425</v>
      </c>
      <c r="N28" s="112">
        <f t="shared" si="14"/>
        <v>724.07786423073048</v>
      </c>
      <c r="O28" s="112">
        <f t="shared" si="14"/>
        <v>695.11474966150126</v>
      </c>
      <c r="P28" s="112">
        <f t="shared" si="14"/>
        <v>667.31015967504118</v>
      </c>
      <c r="Q28" s="112">
        <f t="shared" si="14"/>
        <v>640.61775328803958</v>
      </c>
      <c r="R28" s="112">
        <f t="shared" si="14"/>
        <v>614.99304315651796</v>
      </c>
      <c r="S28" s="107"/>
      <c r="T28" s="107"/>
      <c r="U28" s="107"/>
      <c r="V28" s="107"/>
      <c r="W28" s="107"/>
      <c r="X28" s="107"/>
      <c r="Y28" s="107"/>
      <c r="Z28" s="107"/>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row>
    <row r="29" spans="1:61" s="189" customFormat="1" hidden="1" outlineLevel="1">
      <c r="A29" s="9"/>
      <c r="B29" s="154"/>
      <c r="C29" s="282" t="str">
        <f>Input!S28</f>
        <v>Replacement expenditure (Group 1)</v>
      </c>
      <c r="D29" s="9"/>
      <c r="E29" s="9"/>
      <c r="F29" s="411" t="s">
        <v>194</v>
      </c>
      <c r="G29" s="193">
        <f>Input!U28</f>
        <v>0</v>
      </c>
      <c r="H29" s="112">
        <f t="shared" ref="H29:R29" si="15">G29+G61+G93</f>
        <v>0</v>
      </c>
      <c r="I29" s="112">
        <f t="shared" si="15"/>
        <v>0</v>
      </c>
      <c r="J29" s="112">
        <f t="shared" si="15"/>
        <v>0</v>
      </c>
      <c r="K29" s="112">
        <f t="shared" si="15"/>
        <v>0</v>
      </c>
      <c r="L29" s="112">
        <f t="shared" si="15"/>
        <v>0</v>
      </c>
      <c r="M29" s="112">
        <f t="shared" si="15"/>
        <v>0</v>
      </c>
      <c r="N29" s="112">
        <f t="shared" si="15"/>
        <v>0</v>
      </c>
      <c r="O29" s="112">
        <f t="shared" si="15"/>
        <v>0</v>
      </c>
      <c r="P29" s="112">
        <f t="shared" si="15"/>
        <v>0</v>
      </c>
      <c r="Q29" s="112">
        <f t="shared" si="15"/>
        <v>0</v>
      </c>
      <c r="R29" s="112">
        <f t="shared" si="15"/>
        <v>0</v>
      </c>
      <c r="S29" s="107"/>
      <c r="T29" s="107"/>
      <c r="U29" s="107"/>
      <c r="V29" s="107"/>
      <c r="W29" s="107"/>
      <c r="X29" s="107"/>
      <c r="Y29" s="107"/>
      <c r="Z29" s="107"/>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row>
    <row r="30" spans="1:61" s="189" customFormat="1" hidden="1" outlineLevel="1">
      <c r="A30" s="9"/>
      <c r="B30" s="154"/>
      <c r="C30" s="282" t="str">
        <f>Input!S29</f>
        <v>Replacement expenditure (Group 2)</v>
      </c>
      <c r="D30" s="9"/>
      <c r="E30" s="9"/>
      <c r="F30" s="411" t="s">
        <v>194</v>
      </c>
      <c r="G30" s="193">
        <f>Input!U29</f>
        <v>3.9444013301505647</v>
      </c>
      <c r="H30" s="112">
        <f t="shared" ref="H30:R30" si="16">G30+G62+G94</f>
        <v>6.4531134651906239</v>
      </c>
      <c r="I30" s="112">
        <f t="shared" si="16"/>
        <v>8.00930740151618</v>
      </c>
      <c r="J30" s="112">
        <f t="shared" si="16"/>
        <v>9.2729689775126776</v>
      </c>
      <c r="K30" s="112">
        <f t="shared" si="16"/>
        <v>12.26314322582847</v>
      </c>
      <c r="L30" s="112">
        <f t="shared" si="16"/>
        <v>14.038831337773422</v>
      </c>
      <c r="M30" s="112">
        <f t="shared" si="16"/>
        <v>15.290840916469342</v>
      </c>
      <c r="N30" s="112">
        <f t="shared" si="16"/>
        <v>13.761756824822408</v>
      </c>
      <c r="O30" s="112">
        <f t="shared" si="16"/>
        <v>12.385581142340166</v>
      </c>
      <c r="P30" s="112">
        <f t="shared" si="16"/>
        <v>11.147023028106149</v>
      </c>
      <c r="Q30" s="112">
        <f t="shared" si="16"/>
        <v>10.032320725295534</v>
      </c>
      <c r="R30" s="112">
        <f t="shared" si="16"/>
        <v>9.0290886527659815</v>
      </c>
      <c r="S30" s="107"/>
      <c r="T30" s="107"/>
      <c r="U30" s="107"/>
      <c r="V30" s="107"/>
      <c r="W30" s="107"/>
      <c r="X30" s="107"/>
      <c r="Y30" s="107"/>
      <c r="Z30" s="107"/>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row>
    <row r="31" spans="1:61" s="189" customFormat="1" hidden="1" outlineLevel="1">
      <c r="A31" s="9"/>
      <c r="B31" s="154"/>
      <c r="C31" s="282" t="str">
        <f>Input!S30</f>
        <v>Replacement expenditure (Group 3)</v>
      </c>
      <c r="D31" s="9"/>
      <c r="E31" s="9"/>
      <c r="F31" s="411" t="s">
        <v>194</v>
      </c>
      <c r="G31" s="193">
        <f>Input!U30</f>
        <v>38.451523666585288</v>
      </c>
      <c r="H31" s="112">
        <f t="shared" ref="H31:R31" si="17">G31+G63+G95</f>
        <v>55.590500270436983</v>
      </c>
      <c r="I31" s="112">
        <f t="shared" si="17"/>
        <v>59.541754706463195</v>
      </c>
      <c r="J31" s="112">
        <f t="shared" si="17"/>
        <v>63.136770541625864</v>
      </c>
      <c r="K31" s="112">
        <f t="shared" si="17"/>
        <v>65.299252255918532</v>
      </c>
      <c r="L31" s="112">
        <f t="shared" si="17"/>
        <v>67.864014020887922</v>
      </c>
      <c r="M31" s="112">
        <f t="shared" si="17"/>
        <v>76.185931050865804</v>
      </c>
      <c r="N31" s="112">
        <f t="shared" si="17"/>
        <v>73.138493808831171</v>
      </c>
      <c r="O31" s="112">
        <f t="shared" si="17"/>
        <v>70.212954056477926</v>
      </c>
      <c r="P31" s="112">
        <f t="shared" si="17"/>
        <v>67.404435894218807</v>
      </c>
      <c r="Q31" s="112">
        <f t="shared" si="17"/>
        <v>64.708258458450061</v>
      </c>
      <c r="R31" s="112">
        <f t="shared" si="17"/>
        <v>62.119928120112057</v>
      </c>
      <c r="S31" s="107"/>
      <c r="T31" s="107"/>
      <c r="U31" s="107"/>
      <c r="V31" s="107"/>
      <c r="W31" s="107"/>
      <c r="X31" s="107"/>
      <c r="Y31" s="107"/>
      <c r="Z31" s="107"/>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row>
    <row r="32" spans="1:61" s="189" customFormat="1" hidden="1" outlineLevel="1">
      <c r="A32" s="9"/>
      <c r="B32" s="154"/>
      <c r="C32" s="282" t="str">
        <f>Input!S31</f>
        <v>Environment, safety &amp; legal</v>
      </c>
      <c r="D32" s="9"/>
      <c r="E32" s="9"/>
      <c r="F32" s="411" t="s">
        <v>194</v>
      </c>
      <c r="G32" s="193">
        <f>Input!U31</f>
        <v>3.5662222327335118</v>
      </c>
      <c r="H32" s="112">
        <f t="shared" ref="H32:R32" si="18">G32+G64+G96</f>
        <v>4.5327504584144318</v>
      </c>
      <c r="I32" s="112">
        <f t="shared" si="18"/>
        <v>11.545710688904133</v>
      </c>
      <c r="J32" s="112">
        <f t="shared" si="18"/>
        <v>18.500610784501177</v>
      </c>
      <c r="K32" s="112">
        <f t="shared" si="18"/>
        <v>29.774113614274594</v>
      </c>
      <c r="L32" s="112">
        <f t="shared" si="18"/>
        <v>38.295158731505524</v>
      </c>
      <c r="M32" s="112">
        <f t="shared" si="18"/>
        <v>46.470960757276963</v>
      </c>
      <c r="N32" s="112">
        <f t="shared" si="18"/>
        <v>41.823864681549267</v>
      </c>
      <c r="O32" s="112">
        <f t="shared" si="18"/>
        <v>37.641478213394343</v>
      </c>
      <c r="P32" s="112">
        <f t="shared" si="18"/>
        <v>33.877330392054908</v>
      </c>
      <c r="Q32" s="112">
        <f t="shared" si="18"/>
        <v>30.489597352849415</v>
      </c>
      <c r="R32" s="112">
        <f t="shared" si="18"/>
        <v>27.440637617564473</v>
      </c>
      <c r="S32" s="107"/>
      <c r="T32" s="107"/>
      <c r="U32" s="107"/>
      <c r="V32" s="107"/>
      <c r="W32" s="107"/>
      <c r="X32" s="107"/>
      <c r="Y32" s="107"/>
      <c r="Z32" s="107"/>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row>
    <row r="33" spans="1:61" s="189" customFormat="1" hidden="1" outlineLevel="1">
      <c r="A33" s="9"/>
      <c r="B33" s="154"/>
      <c r="C33" s="282" t="str">
        <f>Input!S32</f>
        <v>SCADA/Network control</v>
      </c>
      <c r="D33" s="9"/>
      <c r="E33" s="9"/>
      <c r="F33" s="411" t="s">
        <v>133</v>
      </c>
      <c r="G33" s="193">
        <f>Input!U32</f>
        <v>2.436751182305581</v>
      </c>
      <c r="H33" s="112">
        <f t="shared" ref="H33:R33" si="19">G33+G65+G97</f>
        <v>2.9488502981908602</v>
      </c>
      <c r="I33" s="112">
        <f t="shared" si="19"/>
        <v>3.5112376984963682</v>
      </c>
      <c r="J33" s="112">
        <f t="shared" si="19"/>
        <v>6.3563491319969012</v>
      </c>
      <c r="K33" s="112">
        <f t="shared" si="19"/>
        <v>8.2456236525121529</v>
      </c>
      <c r="L33" s="112">
        <f t="shared" si="19"/>
        <v>9.9245689710101388</v>
      </c>
      <c r="M33" s="112">
        <f t="shared" si="19"/>
        <v>10.966665118978895</v>
      </c>
      <c r="N33" s="112">
        <f t="shared" si="19"/>
        <v>9.8699986070810048</v>
      </c>
      <c r="O33" s="112">
        <f t="shared" si="19"/>
        <v>8.8829987463729037</v>
      </c>
      <c r="P33" s="112">
        <f t="shared" si="19"/>
        <v>7.9946988717356131</v>
      </c>
      <c r="Q33" s="112">
        <f t="shared" si="19"/>
        <v>7.1952289845620516</v>
      </c>
      <c r="R33" s="112">
        <f t="shared" si="19"/>
        <v>6.4757060861058466</v>
      </c>
      <c r="S33" s="107"/>
      <c r="T33" s="107"/>
      <c r="U33" s="107"/>
      <c r="V33" s="107"/>
      <c r="W33" s="107"/>
      <c r="X33" s="107"/>
      <c r="Y33" s="107"/>
      <c r="Z33" s="107"/>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row>
    <row r="34" spans="1:61" s="189" customFormat="1" hidden="1" outlineLevel="1">
      <c r="A34" s="9"/>
      <c r="B34" s="154"/>
      <c r="C34" s="282" t="str">
        <f>Input!S33</f>
        <v>Non-network general assets - IT</v>
      </c>
      <c r="D34" s="9"/>
      <c r="E34" s="9"/>
      <c r="F34" s="411" t="s">
        <v>134</v>
      </c>
      <c r="G34" s="193">
        <f>Input!U33</f>
        <v>5.162344779785629</v>
      </c>
      <c r="H34" s="112">
        <f t="shared" ref="H34:R34" si="20">G34+G66+G98</f>
        <v>6.7574847927302759</v>
      </c>
      <c r="I34" s="112">
        <f t="shared" si="20"/>
        <v>6.8879952675742988</v>
      </c>
      <c r="J34" s="112">
        <f t="shared" si="20"/>
        <v>8.8299999311295174</v>
      </c>
      <c r="K34" s="112">
        <f t="shared" si="20"/>
        <v>9.3801949902831101</v>
      </c>
      <c r="L34" s="112">
        <f t="shared" si="20"/>
        <v>12.59443433695683</v>
      </c>
      <c r="M34" s="112">
        <f t="shared" si="20"/>
        <v>19.957170202174098</v>
      </c>
      <c r="N34" s="112">
        <f t="shared" si="20"/>
        <v>11.974302121304458</v>
      </c>
      <c r="O34" s="112">
        <f t="shared" si="20"/>
        <v>7.1845812727826743</v>
      </c>
      <c r="P34" s="112">
        <f t="shared" si="20"/>
        <v>4.3107487636696042</v>
      </c>
      <c r="Q34" s="112">
        <f t="shared" si="20"/>
        <v>2.5864492582017622</v>
      </c>
      <c r="R34" s="112">
        <f t="shared" si="20"/>
        <v>1.5518695549210573</v>
      </c>
      <c r="S34" s="107"/>
      <c r="T34" s="107"/>
      <c r="U34" s="107"/>
      <c r="V34" s="107"/>
      <c r="W34" s="107"/>
      <c r="X34" s="107"/>
      <c r="Y34" s="107"/>
      <c r="Z34" s="107"/>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row>
    <row r="35" spans="1:61" s="189" customFormat="1" hidden="1" outlineLevel="1">
      <c r="A35" s="9"/>
      <c r="B35" s="154"/>
      <c r="C35" s="282" t="str">
        <f>Input!S34</f>
        <v>Non-network general assets - Other</v>
      </c>
      <c r="D35" s="9"/>
      <c r="E35" s="9"/>
      <c r="F35" s="411" t="s">
        <v>135</v>
      </c>
      <c r="G35" s="193">
        <f>Input!U34</f>
        <v>5.5930133009940306</v>
      </c>
      <c r="H35" s="112">
        <f t="shared" ref="H35:R35" si="21">G35+G67+G99</f>
        <v>5.6916607894188207</v>
      </c>
      <c r="I35" s="112">
        <f t="shared" si="21"/>
        <v>6.4545535721825553</v>
      </c>
      <c r="J35" s="112">
        <f t="shared" si="21"/>
        <v>5.8753541751428235</v>
      </c>
      <c r="K35" s="112">
        <f t="shared" si="21"/>
        <v>7.1450343119267226</v>
      </c>
      <c r="L35" s="112">
        <f t="shared" si="21"/>
        <v>10.559058938207201</v>
      </c>
      <c r="M35" s="112">
        <f t="shared" si="21"/>
        <v>11.159531155862966</v>
      </c>
      <c r="N35" s="112">
        <f t="shared" si="21"/>
        <v>9.190202128357738</v>
      </c>
      <c r="O35" s="112">
        <f t="shared" si="21"/>
        <v>7.5684017527651957</v>
      </c>
      <c r="P35" s="112">
        <f t="shared" si="21"/>
        <v>6.2328014434536909</v>
      </c>
      <c r="Q35" s="112">
        <f t="shared" si="21"/>
        <v>5.1328953063736282</v>
      </c>
      <c r="R35" s="112">
        <f t="shared" si="21"/>
        <v>4.2270902523076943</v>
      </c>
      <c r="S35" s="107"/>
      <c r="T35" s="107"/>
      <c r="U35" s="107"/>
      <c r="V35" s="107"/>
      <c r="W35" s="107"/>
      <c r="X35" s="107"/>
      <c r="Y35" s="107"/>
      <c r="Z35" s="107"/>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row>
    <row r="36" spans="1:61" s="189" customFormat="1" hidden="1" outlineLevel="1">
      <c r="A36" s="9"/>
      <c r="B36" s="154"/>
      <c r="C36" s="282"/>
      <c r="D36" s="9"/>
      <c r="E36" s="9"/>
      <c r="F36" s="411"/>
      <c r="G36" s="193"/>
      <c r="H36" s="112"/>
      <c r="I36" s="112"/>
      <c r="J36" s="112"/>
      <c r="K36" s="112"/>
      <c r="L36" s="112"/>
      <c r="M36" s="112"/>
      <c r="N36" s="112"/>
      <c r="O36" s="112"/>
      <c r="P36" s="112"/>
      <c r="Q36" s="112"/>
      <c r="R36" s="112"/>
      <c r="S36" s="107"/>
      <c r="T36" s="107"/>
      <c r="U36" s="107"/>
      <c r="V36" s="107"/>
      <c r="W36" s="107"/>
      <c r="X36" s="107"/>
      <c r="Y36" s="107"/>
      <c r="Z36" s="107"/>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row>
    <row r="37" spans="1:61" s="189" customFormat="1" hidden="1" outlineLevel="1">
      <c r="A37" s="9"/>
      <c r="B37" s="154"/>
      <c r="C37" s="282" t="str">
        <f>Input!S36</f>
        <v>Equity Raising Costs</v>
      </c>
      <c r="D37" s="9"/>
      <c r="E37" s="9"/>
      <c r="F37" s="411" t="s">
        <v>137</v>
      </c>
      <c r="G37" s="193">
        <f>Input!U36</f>
        <v>0</v>
      </c>
      <c r="H37" s="112">
        <f>G37+G69+G101</f>
        <v>0</v>
      </c>
      <c r="I37" s="112">
        <f t="shared" ref="I37:Q37" si="22">H37+H69+H101</f>
        <v>2.2361531999799786</v>
      </c>
      <c r="J37" s="112">
        <f t="shared" si="22"/>
        <v>1.6771148999849839</v>
      </c>
      <c r="K37" s="112">
        <f t="shared" si="22"/>
        <v>1.1180765999899891</v>
      </c>
      <c r="L37" s="112">
        <f t="shared" si="22"/>
        <v>0.55903829999499444</v>
      </c>
      <c r="M37" s="112">
        <f t="shared" si="22"/>
        <v>0</v>
      </c>
      <c r="N37" s="112">
        <f t="shared" si="22"/>
        <v>0</v>
      </c>
      <c r="O37" s="112">
        <f t="shared" si="22"/>
        <v>0</v>
      </c>
      <c r="P37" s="112">
        <f t="shared" si="22"/>
        <v>0</v>
      </c>
      <c r="Q37" s="112">
        <f t="shared" si="22"/>
        <v>0</v>
      </c>
      <c r="R37" s="112">
        <f>Q37+Q69+Q101</f>
        <v>0</v>
      </c>
      <c r="S37" s="107"/>
      <c r="T37" s="107"/>
      <c r="U37" s="107"/>
      <c r="V37" s="107"/>
      <c r="W37" s="107"/>
      <c r="X37" s="107"/>
      <c r="Y37" s="107"/>
      <c r="Z37" s="107"/>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row>
    <row r="38" spans="1:61" s="189" customFormat="1" collapsed="1">
      <c r="A38" s="12"/>
      <c r="B38" s="277"/>
      <c r="C38" s="281"/>
      <c r="D38" s="12"/>
      <c r="E38" s="12"/>
      <c r="F38" s="115"/>
      <c r="G38" s="204"/>
      <c r="H38" s="107"/>
      <c r="I38" s="107"/>
      <c r="J38" s="107"/>
      <c r="K38" s="107"/>
      <c r="L38" s="107"/>
      <c r="M38" s="107"/>
      <c r="N38" s="107"/>
      <c r="O38" s="107"/>
      <c r="P38" s="107"/>
      <c r="Q38" s="107"/>
      <c r="R38" s="107"/>
      <c r="S38" s="107"/>
      <c r="T38" s="107"/>
      <c r="U38" s="107"/>
      <c r="V38" s="107"/>
      <c r="W38" s="107"/>
      <c r="X38" s="107"/>
      <c r="Y38" s="107"/>
      <c r="Z38" s="107"/>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row>
    <row r="39" spans="1:61" s="189" customFormat="1">
      <c r="A39" s="12"/>
      <c r="B39" s="154" t="s">
        <v>69</v>
      </c>
      <c r="C39" s="276"/>
      <c r="D39" s="12"/>
      <c r="E39" s="12"/>
      <c r="F39" s="115"/>
      <c r="G39" s="204">
        <f>SUM(G40:G69)</f>
        <v>125.41104329859766</v>
      </c>
      <c r="H39" s="107">
        <f t="shared" ref="H39:R39" si="23">SUM(H40:H69)</f>
        <v>155.7522535876488</v>
      </c>
      <c r="I39" s="107">
        <f t="shared" si="23"/>
        <v>130.23640673719848</v>
      </c>
      <c r="J39" s="107">
        <f t="shared" si="23"/>
        <v>156.05777901769162</v>
      </c>
      <c r="K39" s="107">
        <f t="shared" si="23"/>
        <v>171.24023336516228</v>
      </c>
      <c r="L39" s="107">
        <f t="shared" si="23"/>
        <v>201.75599051772085</v>
      </c>
      <c r="M39" s="107">
        <f t="shared" si="23"/>
        <v>0</v>
      </c>
      <c r="N39" s="107">
        <f t="shared" si="23"/>
        <v>0</v>
      </c>
      <c r="O39" s="107">
        <f t="shared" si="23"/>
        <v>0</v>
      </c>
      <c r="P39" s="107">
        <f t="shared" si="23"/>
        <v>0</v>
      </c>
      <c r="Q39" s="107">
        <f t="shared" si="23"/>
        <v>0</v>
      </c>
      <c r="R39" s="107">
        <f t="shared" si="23"/>
        <v>0</v>
      </c>
      <c r="S39" s="107"/>
      <c r="T39" s="107"/>
      <c r="U39" s="107"/>
      <c r="V39" s="107"/>
      <c r="W39" s="107"/>
      <c r="X39" s="107"/>
      <c r="Y39" s="107"/>
      <c r="Z39" s="107"/>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row>
    <row r="40" spans="1:61" s="189" customFormat="1" hidden="1" outlineLevel="1">
      <c r="A40" s="12"/>
      <c r="B40" s="276"/>
      <c r="C40" s="282" t="str">
        <f>C8</f>
        <v>Group 1</v>
      </c>
      <c r="D40" s="12"/>
      <c r="E40" s="12"/>
      <c r="F40" s="115"/>
      <c r="G40" s="204"/>
      <c r="H40" s="107"/>
      <c r="I40" s="107"/>
      <c r="J40" s="107"/>
      <c r="K40" s="107"/>
      <c r="L40" s="107"/>
      <c r="M40" s="107"/>
      <c r="N40" s="107"/>
      <c r="O40" s="107"/>
      <c r="P40" s="107"/>
      <c r="Q40" s="107"/>
      <c r="R40" s="107"/>
      <c r="S40" s="107"/>
      <c r="T40" s="107"/>
      <c r="U40" s="107"/>
      <c r="V40" s="107"/>
      <c r="W40" s="107"/>
      <c r="X40" s="107"/>
      <c r="Y40" s="107"/>
      <c r="Z40" s="107"/>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row>
    <row r="41" spans="1:61" s="189" customFormat="1" hidden="1" outlineLevel="1">
      <c r="A41" s="12"/>
      <c r="B41" s="154"/>
      <c r="C41" s="282" t="str">
        <f t="shared" ref="C41:C69" si="24">C9</f>
        <v>Land</v>
      </c>
      <c r="D41" s="12"/>
      <c r="E41" s="12"/>
      <c r="F41" s="115"/>
      <c r="G41" s="204">
        <f>Input!T42-Input!T76</f>
        <v>0</v>
      </c>
      <c r="H41" s="107">
        <f>Input!U42-Input!U76</f>
        <v>0</v>
      </c>
      <c r="I41" s="107">
        <f>Input!V42-Input!V76</f>
        <v>0</v>
      </c>
      <c r="J41" s="107">
        <f>Input!W42-Input!W76</f>
        <v>0</v>
      </c>
      <c r="K41" s="107">
        <f>Input!X42-Input!X76</f>
        <v>0</v>
      </c>
      <c r="L41" s="107">
        <f>Input!Y42-Input!Y76</f>
        <v>0</v>
      </c>
      <c r="M41" s="283"/>
      <c r="N41" s="283"/>
      <c r="O41" s="283"/>
      <c r="P41" s="283"/>
      <c r="Q41" s="283"/>
      <c r="R41" s="283"/>
      <c r="S41" s="107"/>
      <c r="T41" s="107"/>
      <c r="U41" s="107"/>
      <c r="V41" s="107"/>
      <c r="W41" s="107"/>
      <c r="X41" s="107"/>
      <c r="Y41" s="107"/>
      <c r="Z41" s="107"/>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row>
    <row r="42" spans="1:61" s="189" customFormat="1" hidden="1" outlineLevel="1">
      <c r="A42" s="12"/>
      <c r="B42" s="154"/>
      <c r="C42" s="282" t="str">
        <f t="shared" si="24"/>
        <v>6.7 to 10 yrs</v>
      </c>
      <c r="D42" s="12"/>
      <c r="E42" s="12"/>
      <c r="F42" s="115"/>
      <c r="G42" s="204">
        <f>Input!T43-Input!T77</f>
        <v>0</v>
      </c>
      <c r="H42" s="107">
        <f>Input!U43-Input!U77</f>
        <v>0</v>
      </c>
      <c r="I42" s="107">
        <f>Input!V43-Input!V77</f>
        <v>0</v>
      </c>
      <c r="J42" s="107">
        <f>Input!W43-Input!W77</f>
        <v>0</v>
      </c>
      <c r="K42" s="107">
        <f>Input!X43-Input!X77</f>
        <v>0</v>
      </c>
      <c r="L42" s="107">
        <f>Input!Y43-Input!Y77</f>
        <v>0</v>
      </c>
      <c r="M42" s="283"/>
      <c r="N42" s="283"/>
      <c r="O42" s="283"/>
      <c r="P42" s="283"/>
      <c r="Q42" s="283"/>
      <c r="R42" s="283"/>
      <c r="S42" s="107"/>
      <c r="T42" s="107"/>
      <c r="U42" s="107"/>
      <c r="V42" s="107"/>
      <c r="W42" s="107"/>
      <c r="X42" s="107"/>
      <c r="Y42" s="107"/>
      <c r="Z42" s="107"/>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row>
    <row r="43" spans="1:61" s="189" customFormat="1" hidden="1" outlineLevel="1">
      <c r="A43" s="12"/>
      <c r="B43" s="154"/>
      <c r="C43" s="282" t="str">
        <f t="shared" si="24"/>
        <v>10 to 13 yrs</v>
      </c>
      <c r="D43" s="12"/>
      <c r="E43" s="12"/>
      <c r="F43" s="115"/>
      <c r="G43" s="204">
        <f>Input!T44-Input!T78</f>
        <v>0</v>
      </c>
      <c r="H43" s="107">
        <f>Input!U44-Input!U78</f>
        <v>0</v>
      </c>
      <c r="I43" s="107">
        <f>Input!V44-Input!V78</f>
        <v>0</v>
      </c>
      <c r="J43" s="107">
        <f>Input!W44-Input!W78</f>
        <v>0</v>
      </c>
      <c r="K43" s="107">
        <f>Input!X44-Input!X78</f>
        <v>0</v>
      </c>
      <c r="L43" s="107">
        <f>Input!Y44-Input!Y78</f>
        <v>0</v>
      </c>
      <c r="M43" s="283"/>
      <c r="N43" s="283"/>
      <c r="O43" s="283"/>
      <c r="P43" s="283"/>
      <c r="Q43" s="283"/>
      <c r="R43" s="283"/>
      <c r="S43" s="107"/>
      <c r="T43" s="107"/>
      <c r="U43" s="107"/>
      <c r="V43" s="107"/>
      <c r="W43" s="107"/>
      <c r="X43" s="107"/>
      <c r="Y43" s="107"/>
      <c r="Z43" s="107"/>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row>
    <row r="44" spans="1:61" s="189" customFormat="1" hidden="1" outlineLevel="1">
      <c r="A44" s="12"/>
      <c r="B44" s="154"/>
      <c r="C44" s="282" t="str">
        <f t="shared" si="24"/>
        <v>13 to 30yrs</v>
      </c>
      <c r="D44" s="12"/>
      <c r="E44" s="12"/>
      <c r="F44" s="115"/>
      <c r="G44" s="204">
        <f>Input!T45-Input!T79</f>
        <v>0</v>
      </c>
      <c r="H44" s="107">
        <f>Input!U45-Input!U79</f>
        <v>0</v>
      </c>
      <c r="I44" s="107">
        <f>Input!V45-Input!V79</f>
        <v>0</v>
      </c>
      <c r="J44" s="107">
        <f>Input!W45-Input!W79</f>
        <v>0</v>
      </c>
      <c r="K44" s="107">
        <f>Input!X45-Input!X79</f>
        <v>0</v>
      </c>
      <c r="L44" s="107">
        <f>Input!Y45-Input!Y79</f>
        <v>0</v>
      </c>
      <c r="M44" s="283"/>
      <c r="N44" s="283"/>
      <c r="O44" s="283"/>
      <c r="P44" s="283"/>
      <c r="Q44" s="283"/>
      <c r="R44" s="283"/>
      <c r="S44" s="107"/>
      <c r="T44" s="107"/>
      <c r="U44" s="107"/>
      <c r="V44" s="107"/>
      <c r="W44" s="107"/>
      <c r="X44" s="107"/>
      <c r="Y44" s="107"/>
      <c r="Z44" s="107"/>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row>
    <row r="45" spans="1:61" s="189" customFormat="1" hidden="1" outlineLevel="1">
      <c r="A45" s="12"/>
      <c r="B45" s="154"/>
      <c r="C45" s="282" t="str">
        <f t="shared" si="24"/>
        <v>&gt; 30 years</v>
      </c>
      <c r="D45" s="12"/>
      <c r="E45" s="12"/>
      <c r="F45" s="115"/>
      <c r="G45" s="204">
        <f>Input!T46-Input!T80</f>
        <v>0</v>
      </c>
      <c r="H45" s="107">
        <f>Input!U46-Input!U80</f>
        <v>0</v>
      </c>
      <c r="I45" s="107">
        <f>Input!V46-Input!V80</f>
        <v>0</v>
      </c>
      <c r="J45" s="107">
        <f>Input!W46-Input!W80</f>
        <v>0</v>
      </c>
      <c r="K45" s="107">
        <f>Input!X46-Input!X80</f>
        <v>0</v>
      </c>
      <c r="L45" s="107">
        <f>Input!Y46-Input!Y80</f>
        <v>0</v>
      </c>
      <c r="M45" s="283"/>
      <c r="N45" s="283"/>
      <c r="O45" s="283"/>
      <c r="P45" s="283"/>
      <c r="Q45" s="283"/>
      <c r="R45" s="283"/>
      <c r="S45" s="107"/>
      <c r="T45" s="107"/>
      <c r="U45" s="107"/>
      <c r="V45" s="107"/>
      <c r="W45" s="107"/>
      <c r="X45" s="107"/>
      <c r="Y45" s="107"/>
      <c r="Z45" s="107"/>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row>
    <row r="46" spans="1:61" s="189" customFormat="1" hidden="1" outlineLevel="1">
      <c r="A46" s="12"/>
      <c r="B46" s="154"/>
      <c r="C46" s="282"/>
      <c r="D46" s="12"/>
      <c r="E46" s="12"/>
      <c r="F46" s="115"/>
      <c r="G46" s="204"/>
      <c r="H46" s="107"/>
      <c r="I46" s="107"/>
      <c r="J46" s="107"/>
      <c r="K46" s="107"/>
      <c r="L46" s="107"/>
      <c r="M46" s="283"/>
      <c r="N46" s="283"/>
      <c r="O46" s="283"/>
      <c r="P46" s="283"/>
      <c r="Q46" s="283"/>
      <c r="R46" s="283"/>
      <c r="S46" s="107"/>
      <c r="T46" s="107"/>
      <c r="U46" s="107"/>
      <c r="V46" s="107"/>
      <c r="W46" s="107"/>
      <c r="X46" s="107"/>
      <c r="Y46" s="107"/>
      <c r="Z46" s="107"/>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row>
    <row r="47" spans="1:61" s="189" customFormat="1" hidden="1" outlineLevel="1">
      <c r="A47" s="12"/>
      <c r="B47" s="154"/>
      <c r="C47" s="282" t="str">
        <f t="shared" si="24"/>
        <v>Group 2</v>
      </c>
      <c r="D47" s="12"/>
      <c r="E47" s="12"/>
      <c r="F47" s="115"/>
      <c r="G47" s="204">
        <f>Input!T48-Input!T82</f>
        <v>0</v>
      </c>
      <c r="H47" s="107">
        <f>Input!U48-Input!U82</f>
        <v>0</v>
      </c>
      <c r="I47" s="107">
        <f>Input!V48-Input!V82</f>
        <v>0</v>
      </c>
      <c r="J47" s="107">
        <f>Input!W48-Input!W82</f>
        <v>0</v>
      </c>
      <c r="K47" s="107">
        <f>Input!X48-Input!X82</f>
        <v>0</v>
      </c>
      <c r="L47" s="107">
        <f>Input!Y48-Input!Y82</f>
        <v>0</v>
      </c>
      <c r="M47" s="283"/>
      <c r="N47" s="283"/>
      <c r="O47" s="283"/>
      <c r="P47" s="283"/>
      <c r="Q47" s="283"/>
      <c r="R47" s="283"/>
      <c r="S47" s="107"/>
      <c r="T47" s="107"/>
      <c r="U47" s="107"/>
      <c r="V47" s="107"/>
      <c r="W47" s="107"/>
      <c r="X47" s="107"/>
      <c r="Y47" s="107"/>
      <c r="Z47" s="107"/>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row>
    <row r="48" spans="1:61" s="189" customFormat="1" hidden="1" outlineLevel="1">
      <c r="A48" s="12"/>
      <c r="B48" s="154"/>
      <c r="C48" s="282" t="str">
        <f t="shared" si="24"/>
        <v>Demand related capital expenditure</v>
      </c>
      <c r="D48" s="12"/>
      <c r="E48" s="12"/>
      <c r="F48" s="115"/>
      <c r="G48" s="204">
        <f>Input!T49-Input!T83</f>
        <v>0</v>
      </c>
      <c r="H48" s="107">
        <f>Input!U49-Input!U83</f>
        <v>0</v>
      </c>
      <c r="I48" s="107">
        <f>Input!V49-Input!V83</f>
        <v>0</v>
      </c>
      <c r="J48" s="107">
        <f>Input!W49-Input!W83</f>
        <v>0</v>
      </c>
      <c r="K48" s="107">
        <f>Input!X49-Input!X83</f>
        <v>0</v>
      </c>
      <c r="L48" s="107">
        <f>Input!Y49-Input!Y83</f>
        <v>0</v>
      </c>
      <c r="M48" s="283"/>
      <c r="N48" s="283"/>
      <c r="O48" s="283"/>
      <c r="P48" s="283"/>
      <c r="Q48" s="283"/>
      <c r="R48" s="283"/>
      <c r="S48" s="107"/>
      <c r="T48" s="107"/>
      <c r="U48" s="107"/>
      <c r="V48" s="107"/>
      <c r="W48" s="107"/>
      <c r="X48" s="107"/>
      <c r="Y48" s="107"/>
      <c r="Z48" s="107"/>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row>
    <row r="49" spans="1:61" s="189" customFormat="1" hidden="1" outlineLevel="1">
      <c r="A49" s="12"/>
      <c r="B49" s="154"/>
      <c r="C49" s="282" t="str">
        <f t="shared" si="24"/>
        <v>Replacement expenditure (Group 1)</v>
      </c>
      <c r="D49" s="12"/>
      <c r="E49" s="12"/>
      <c r="F49" s="115"/>
      <c r="G49" s="204">
        <f>Input!T50-Input!T84</f>
        <v>0</v>
      </c>
      <c r="H49" s="107">
        <f>Input!U50-Input!U84</f>
        <v>0</v>
      </c>
      <c r="I49" s="107">
        <f>Input!V50-Input!V84</f>
        <v>0</v>
      </c>
      <c r="J49" s="107">
        <f>Input!W50-Input!W84</f>
        <v>0</v>
      </c>
      <c r="K49" s="107">
        <f>Input!X50-Input!X84</f>
        <v>0</v>
      </c>
      <c r="L49" s="107">
        <f>Input!Y50-Input!Y84</f>
        <v>0</v>
      </c>
      <c r="M49" s="283"/>
      <c r="N49" s="283"/>
      <c r="O49" s="283"/>
      <c r="P49" s="283"/>
      <c r="Q49" s="283"/>
      <c r="R49" s="283"/>
      <c r="S49" s="107"/>
      <c r="T49" s="107"/>
      <c r="U49" s="107"/>
      <c r="V49" s="107"/>
      <c r="W49" s="107"/>
      <c r="X49" s="107"/>
      <c r="Y49" s="107"/>
      <c r="Z49" s="107"/>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row>
    <row r="50" spans="1:61" s="189" customFormat="1" hidden="1" outlineLevel="1">
      <c r="A50" s="12"/>
      <c r="B50" s="154"/>
      <c r="C50" s="282" t="str">
        <f t="shared" si="24"/>
        <v>Replacement expenditure (Group 2)</v>
      </c>
      <c r="D50" s="12"/>
      <c r="E50" s="12"/>
      <c r="F50" s="115"/>
      <c r="G50" s="204">
        <f>Input!T51-Input!T85</f>
        <v>0</v>
      </c>
      <c r="H50" s="107">
        <f>Input!U51-Input!U85</f>
        <v>0</v>
      </c>
      <c r="I50" s="107">
        <f>Input!V51-Input!V85</f>
        <v>0</v>
      </c>
      <c r="J50" s="107">
        <f>Input!W51-Input!W85</f>
        <v>0</v>
      </c>
      <c r="K50" s="107">
        <f>Input!X51-Input!X85</f>
        <v>0</v>
      </c>
      <c r="L50" s="107">
        <f>Input!Y51-Input!Y85</f>
        <v>0</v>
      </c>
      <c r="M50" s="283"/>
      <c r="N50" s="283"/>
      <c r="O50" s="283"/>
      <c r="P50" s="283"/>
      <c r="Q50" s="283"/>
      <c r="R50" s="283"/>
      <c r="S50" s="107"/>
      <c r="T50" s="107"/>
      <c r="U50" s="107"/>
      <c r="V50" s="107"/>
      <c r="W50" s="107"/>
      <c r="X50" s="107"/>
      <c r="Y50" s="107"/>
      <c r="Z50" s="107"/>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row>
    <row r="51" spans="1:61" s="189" customFormat="1" hidden="1" outlineLevel="1">
      <c r="A51" s="12"/>
      <c r="B51" s="154"/>
      <c r="C51" s="282" t="str">
        <f t="shared" si="24"/>
        <v>Replacement expenditure (Group 3)</v>
      </c>
      <c r="D51" s="12"/>
      <c r="E51" s="12"/>
      <c r="F51" s="115"/>
      <c r="G51" s="204">
        <f>Input!T52-Input!T86</f>
        <v>0</v>
      </c>
      <c r="H51" s="107">
        <f>Input!U52-Input!U86</f>
        <v>0</v>
      </c>
      <c r="I51" s="107">
        <f>Input!V52-Input!V86</f>
        <v>0</v>
      </c>
      <c r="J51" s="107">
        <f>Input!W52-Input!W86</f>
        <v>0</v>
      </c>
      <c r="K51" s="107">
        <f>Input!X52-Input!X86</f>
        <v>0</v>
      </c>
      <c r="L51" s="107">
        <f>Input!Y52-Input!Y86</f>
        <v>0</v>
      </c>
      <c r="M51" s="283"/>
      <c r="N51" s="283"/>
      <c r="O51" s="283"/>
      <c r="P51" s="283"/>
      <c r="Q51" s="283"/>
      <c r="R51" s="283"/>
      <c r="S51" s="107"/>
      <c r="T51" s="107"/>
      <c r="U51" s="107"/>
      <c r="V51" s="107"/>
      <c r="W51" s="107"/>
      <c r="X51" s="107"/>
      <c r="Y51" s="107"/>
      <c r="Z51" s="107"/>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row>
    <row r="52" spans="1:61" s="189" customFormat="1" hidden="1" outlineLevel="1">
      <c r="A52" s="12"/>
      <c r="B52" s="154"/>
      <c r="C52" s="282" t="str">
        <f t="shared" si="24"/>
        <v>Environment, safety &amp; legal</v>
      </c>
      <c r="D52" s="12"/>
      <c r="E52" s="12"/>
      <c r="F52" s="115"/>
      <c r="G52" s="204">
        <f>Input!T53-Input!T87</f>
        <v>0</v>
      </c>
      <c r="H52" s="107">
        <f>Input!U53-Input!U87</f>
        <v>0</v>
      </c>
      <c r="I52" s="107">
        <f>Input!V53-Input!V87</f>
        <v>0</v>
      </c>
      <c r="J52" s="107">
        <f>Input!W53-Input!W87</f>
        <v>0</v>
      </c>
      <c r="K52" s="107">
        <f>Input!X53-Input!X87</f>
        <v>0</v>
      </c>
      <c r="L52" s="107">
        <f>Input!Y53-Input!Y87</f>
        <v>0</v>
      </c>
      <c r="M52" s="283"/>
      <c r="N52" s="283"/>
      <c r="O52" s="283"/>
      <c r="P52" s="283"/>
      <c r="Q52" s="283"/>
      <c r="R52" s="283"/>
      <c r="S52" s="107"/>
      <c r="T52" s="107"/>
      <c r="U52" s="107"/>
      <c r="V52" s="107"/>
      <c r="W52" s="107"/>
      <c r="X52" s="107"/>
      <c r="Y52" s="107"/>
      <c r="Z52" s="107"/>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row>
    <row r="53" spans="1:61" s="189" customFormat="1" hidden="1" outlineLevel="1">
      <c r="A53" s="12"/>
      <c r="B53" s="154"/>
      <c r="C53" s="282" t="str">
        <f t="shared" si="24"/>
        <v>Standard metering (Group 1)</v>
      </c>
      <c r="D53" s="12"/>
      <c r="E53" s="12"/>
      <c r="F53" s="115"/>
      <c r="G53" s="204">
        <f>Input!T54-Input!T88</f>
        <v>0</v>
      </c>
      <c r="H53" s="107">
        <f>Input!U54-Input!U88</f>
        <v>0</v>
      </c>
      <c r="I53" s="107">
        <f>Input!V54-Input!V88</f>
        <v>0</v>
      </c>
      <c r="J53" s="107">
        <f>Input!W54-Input!W88</f>
        <v>0</v>
      </c>
      <c r="K53" s="107">
        <f>Input!X54-Input!X88</f>
        <v>0</v>
      </c>
      <c r="L53" s="107">
        <f>Input!Y54-Input!Y88</f>
        <v>0</v>
      </c>
      <c r="M53" s="283"/>
      <c r="N53" s="283"/>
      <c r="O53" s="283"/>
      <c r="P53" s="283"/>
      <c r="Q53" s="283"/>
      <c r="R53" s="283"/>
      <c r="S53" s="107"/>
      <c r="T53" s="107"/>
      <c r="U53" s="107"/>
      <c r="V53" s="107"/>
      <c r="W53" s="107"/>
      <c r="X53" s="107"/>
      <c r="Y53" s="107"/>
      <c r="Z53" s="107"/>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row>
    <row r="54" spans="1:61" s="189" customFormat="1" hidden="1" outlineLevel="1">
      <c r="A54" s="12"/>
      <c r="B54" s="154"/>
      <c r="C54" s="282" t="str">
        <f t="shared" si="24"/>
        <v>Standard metering (Group 2)</v>
      </c>
      <c r="D54" s="12"/>
      <c r="E54" s="12"/>
      <c r="F54" s="115"/>
      <c r="G54" s="204">
        <f>Input!T55-Input!T89</f>
        <v>0</v>
      </c>
      <c r="H54" s="107">
        <f>Input!U55-Input!U89</f>
        <v>0</v>
      </c>
      <c r="I54" s="107">
        <f>Input!V55-Input!V89</f>
        <v>0</v>
      </c>
      <c r="J54" s="107">
        <f>Input!W55-Input!W89</f>
        <v>0</v>
      </c>
      <c r="K54" s="107">
        <f>Input!X55-Input!X89</f>
        <v>0</v>
      </c>
      <c r="L54" s="107">
        <f>Input!Y55-Input!Y89</f>
        <v>0</v>
      </c>
      <c r="M54" s="283"/>
      <c r="N54" s="283"/>
      <c r="O54" s="283"/>
      <c r="P54" s="283"/>
      <c r="Q54" s="283"/>
      <c r="R54" s="283"/>
      <c r="S54" s="107"/>
      <c r="T54" s="107"/>
      <c r="U54" s="107"/>
      <c r="V54" s="107"/>
      <c r="W54" s="107"/>
      <c r="X54" s="107"/>
      <c r="Y54" s="107"/>
      <c r="Z54" s="107"/>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row>
    <row r="55" spans="1:61" s="189" customFormat="1" hidden="1" outlineLevel="1">
      <c r="A55" s="12"/>
      <c r="B55" s="154"/>
      <c r="C55" s="282" t="str">
        <f t="shared" si="24"/>
        <v>SCADA/Network control</v>
      </c>
      <c r="D55" s="12"/>
      <c r="E55" s="12"/>
      <c r="F55" s="115"/>
      <c r="G55" s="204">
        <f>Input!T56-Input!T90</f>
        <v>0</v>
      </c>
      <c r="H55" s="107">
        <f>Input!U56-Input!U90</f>
        <v>0</v>
      </c>
      <c r="I55" s="107">
        <f>Input!V56-Input!V90</f>
        <v>0</v>
      </c>
      <c r="J55" s="107">
        <f>Input!W56-Input!W90</f>
        <v>0</v>
      </c>
      <c r="K55" s="107">
        <f>Input!X56-Input!X90</f>
        <v>0</v>
      </c>
      <c r="L55" s="107">
        <f>Input!Y56-Input!Y90</f>
        <v>0</v>
      </c>
      <c r="M55" s="283"/>
      <c r="N55" s="283"/>
      <c r="O55" s="283"/>
      <c r="P55" s="283"/>
      <c r="Q55" s="283"/>
      <c r="R55" s="283"/>
      <c r="S55" s="107"/>
      <c r="T55" s="107"/>
      <c r="U55" s="107"/>
      <c r="V55" s="107"/>
      <c r="W55" s="107"/>
      <c r="X55" s="107"/>
      <c r="Y55" s="107"/>
      <c r="Z55" s="107"/>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row>
    <row r="56" spans="1:61" s="189" customFormat="1" hidden="1" outlineLevel="1">
      <c r="A56" s="12"/>
      <c r="B56" s="154"/>
      <c r="C56" s="282" t="str">
        <f t="shared" si="24"/>
        <v>Non-network general assets - IT</v>
      </c>
      <c r="D56" s="12"/>
      <c r="E56" s="12"/>
      <c r="F56" s="115"/>
      <c r="G56" s="204">
        <f>Input!T57-Input!T91</f>
        <v>0</v>
      </c>
      <c r="H56" s="107">
        <f>Input!U57-Input!U91</f>
        <v>0</v>
      </c>
      <c r="I56" s="107">
        <f>Input!V57-Input!V91</f>
        <v>0</v>
      </c>
      <c r="J56" s="107">
        <f>Input!W57-Input!W91</f>
        <v>0</v>
      </c>
      <c r="K56" s="107">
        <f>Input!X57-Input!X91</f>
        <v>0</v>
      </c>
      <c r="L56" s="107">
        <f>Input!Y57-Input!Y91</f>
        <v>0</v>
      </c>
      <c r="M56" s="283"/>
      <c r="N56" s="283"/>
      <c r="O56" s="283"/>
      <c r="P56" s="283"/>
      <c r="Q56" s="283"/>
      <c r="R56" s="283"/>
      <c r="S56" s="107"/>
      <c r="T56" s="107"/>
      <c r="U56" s="107"/>
      <c r="V56" s="107"/>
      <c r="W56" s="107"/>
      <c r="X56" s="107"/>
      <c r="Y56" s="107"/>
      <c r="Z56" s="107"/>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row>
    <row r="57" spans="1:61" s="189" customFormat="1" hidden="1" outlineLevel="1">
      <c r="A57" s="12"/>
      <c r="B57" s="154"/>
      <c r="C57" s="282" t="str">
        <f t="shared" si="24"/>
        <v>Non-network general assets - Other</v>
      </c>
      <c r="D57" s="12"/>
      <c r="E57" s="12"/>
      <c r="F57" s="115"/>
      <c r="G57" s="204">
        <f>Input!T58-Input!T92</f>
        <v>0</v>
      </c>
      <c r="H57" s="107">
        <f>Input!U58-Input!U92</f>
        <v>0</v>
      </c>
      <c r="I57" s="107">
        <f>Input!V58-Input!V92</f>
        <v>0</v>
      </c>
      <c r="J57" s="107">
        <f>Input!W58-Input!W92</f>
        <v>0</v>
      </c>
      <c r="K57" s="107">
        <f>Input!X58-Input!X92</f>
        <v>0</v>
      </c>
      <c r="L57" s="107">
        <f>Input!Y58-Input!Y92</f>
        <v>0</v>
      </c>
      <c r="M57" s="283"/>
      <c r="N57" s="283"/>
      <c r="O57" s="283"/>
      <c r="P57" s="283"/>
      <c r="Q57" s="283"/>
      <c r="R57" s="283"/>
      <c r="S57" s="107"/>
      <c r="T57" s="107"/>
      <c r="U57" s="107"/>
      <c r="V57" s="107"/>
      <c r="W57" s="107"/>
      <c r="X57" s="107"/>
      <c r="Y57" s="107"/>
      <c r="Z57" s="107"/>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row>
    <row r="58" spans="1:61" s="189" customFormat="1" hidden="1" outlineLevel="1">
      <c r="A58" s="12"/>
      <c r="B58" s="154"/>
      <c r="C58" s="282"/>
      <c r="D58" s="12"/>
      <c r="E58" s="12"/>
      <c r="F58" s="115"/>
      <c r="G58" s="204"/>
      <c r="H58" s="107"/>
      <c r="I58" s="107"/>
      <c r="J58" s="107"/>
      <c r="K58" s="107"/>
      <c r="L58" s="107"/>
      <c r="M58" s="107"/>
      <c r="N58" s="107"/>
      <c r="O58" s="107"/>
      <c r="P58" s="107"/>
      <c r="Q58" s="107"/>
      <c r="R58" s="107"/>
      <c r="S58" s="107"/>
      <c r="T58" s="107"/>
      <c r="U58" s="107"/>
      <c r="V58" s="107"/>
      <c r="W58" s="107"/>
      <c r="X58" s="107"/>
      <c r="Y58" s="107"/>
      <c r="Z58" s="107"/>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row>
    <row r="59" spans="1:61" s="189" customFormat="1" hidden="1" outlineLevel="1">
      <c r="A59" s="12"/>
      <c r="B59" s="154"/>
      <c r="C59" s="282" t="str">
        <f t="shared" si="24"/>
        <v>Group 3</v>
      </c>
      <c r="D59" s="12"/>
      <c r="E59" s="12"/>
      <c r="F59" s="115"/>
      <c r="G59" s="204">
        <f>Input!T60-Input!T94</f>
        <v>0</v>
      </c>
      <c r="H59" s="107">
        <f>Input!U60-Input!U94</f>
        <v>0</v>
      </c>
      <c r="I59" s="107">
        <f>Input!V60-Input!V94</f>
        <v>0</v>
      </c>
      <c r="J59" s="107">
        <f>Input!W60-Input!W94</f>
        <v>0</v>
      </c>
      <c r="K59" s="107">
        <f>Input!X60-Input!X94</f>
        <v>0</v>
      </c>
      <c r="L59" s="107">
        <f>Input!Y60-Input!Y94</f>
        <v>0</v>
      </c>
      <c r="M59" s="283"/>
      <c r="N59" s="283"/>
      <c r="O59" s="283"/>
      <c r="P59" s="283"/>
      <c r="Q59" s="283"/>
      <c r="R59" s="283"/>
      <c r="S59" s="107"/>
      <c r="T59" s="107"/>
      <c r="U59" s="107"/>
      <c r="V59" s="107"/>
      <c r="W59" s="107"/>
      <c r="X59" s="107"/>
      <c r="Y59" s="107"/>
      <c r="Z59" s="107"/>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row>
    <row r="60" spans="1:61" s="189" customFormat="1" hidden="1" outlineLevel="1">
      <c r="A60" s="12"/>
      <c r="B60" s="154"/>
      <c r="C60" s="282" t="str">
        <f t="shared" si="24"/>
        <v>Demand related capital expenditure</v>
      </c>
      <c r="D60" s="12"/>
      <c r="E60" s="12"/>
      <c r="F60" s="115"/>
      <c r="G60" s="204">
        <f>Input!T61-Input!T95</f>
        <v>76.885479516513584</v>
      </c>
      <c r="H60" s="107">
        <f>Input!U61-Input!U95</f>
        <v>117.6240636814448</v>
      </c>
      <c r="I60" s="107">
        <f>Input!V61-Input!V95</f>
        <v>93.408797243928916</v>
      </c>
      <c r="J60" s="107">
        <f>Input!W61-Input!W95</f>
        <v>103.31686106221268</v>
      </c>
      <c r="K60" s="107">
        <f>Input!X61-Input!X95</f>
        <v>117.68173647591624</v>
      </c>
      <c r="L60" s="107">
        <f>Input!Y61-Input!Y95</f>
        <v>134.20673567224415</v>
      </c>
      <c r="M60" s="283"/>
      <c r="N60" s="283"/>
      <c r="O60" s="283"/>
      <c r="P60" s="283"/>
      <c r="Q60" s="283"/>
      <c r="R60" s="283"/>
      <c r="S60" s="107"/>
      <c r="T60" s="107"/>
      <c r="U60" s="107"/>
      <c r="V60" s="107"/>
      <c r="W60" s="107"/>
      <c r="X60" s="107"/>
      <c r="Y60" s="107"/>
      <c r="Z60" s="107"/>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row>
    <row r="61" spans="1:61" s="189" customFormat="1" hidden="1" outlineLevel="1">
      <c r="A61" s="12"/>
      <c r="B61" s="154"/>
      <c r="C61" s="282" t="str">
        <f t="shared" si="24"/>
        <v>Replacement expenditure (Group 1)</v>
      </c>
      <c r="D61" s="12"/>
      <c r="E61" s="12"/>
      <c r="F61" s="115"/>
      <c r="G61" s="204">
        <f>Input!T62-Input!T96</f>
        <v>18.45726054337106</v>
      </c>
      <c r="H61" s="107">
        <f>Input!U62-Input!U96</f>
        <v>12.472931699968855</v>
      </c>
      <c r="I61" s="107">
        <f>Input!V62-Input!V96</f>
        <v>10.169430726010216</v>
      </c>
      <c r="J61" s="107">
        <f>Input!W62-Input!W96</f>
        <v>19.729100356968065</v>
      </c>
      <c r="K61" s="107">
        <f>Input!X62-Input!X96</f>
        <v>16.541984586306391</v>
      </c>
      <c r="L61" s="107">
        <f>Input!Y62-Input!Y96</f>
        <v>20.510146699661792</v>
      </c>
      <c r="M61" s="283"/>
      <c r="N61" s="283"/>
      <c r="O61" s="283"/>
      <c r="P61" s="283"/>
      <c r="Q61" s="283"/>
      <c r="R61" s="283"/>
      <c r="S61" s="107"/>
      <c r="T61" s="107"/>
      <c r="U61" s="107"/>
      <c r="V61" s="107"/>
      <c r="W61" s="107"/>
      <c r="X61" s="107"/>
      <c r="Y61" s="107"/>
      <c r="Z61" s="107"/>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row>
    <row r="62" spans="1:61" s="189" customFormat="1" hidden="1" outlineLevel="1">
      <c r="A62" s="12"/>
      <c r="B62" s="154"/>
      <c r="C62" s="282" t="str">
        <f t="shared" si="24"/>
        <v>Replacement expenditure (Group 2)</v>
      </c>
      <c r="D62" s="12"/>
      <c r="E62" s="12"/>
      <c r="F62" s="115"/>
      <c r="G62" s="204">
        <f>Input!T63-Input!T97</f>
        <v>3.0559497558474904</v>
      </c>
      <c r="H62" s="107">
        <f>Input!U63-Input!U97</f>
        <v>2.317373981941703</v>
      </c>
      <c r="I62" s="107">
        <f>Input!V63-Input!V97</f>
        <v>2.1732550696295947</v>
      </c>
      <c r="J62" s="107">
        <f>Input!W63-Input!W97</f>
        <v>4.1236538379653274</v>
      </c>
      <c r="K62" s="107">
        <f>Input!X63-Input!X97</f>
        <v>3.1600025626608401</v>
      </c>
      <c r="L62" s="107">
        <f>Input!Y63-Input!Y97</f>
        <v>2.7956765394455383</v>
      </c>
      <c r="M62" s="283"/>
      <c r="N62" s="283"/>
      <c r="O62" s="283"/>
      <c r="P62" s="283"/>
      <c r="Q62" s="283"/>
      <c r="R62" s="283"/>
      <c r="S62" s="107"/>
      <c r="T62" s="107"/>
      <c r="U62" s="107"/>
      <c r="V62" s="107"/>
      <c r="W62" s="107"/>
      <c r="X62" s="107"/>
      <c r="Y62" s="107"/>
      <c r="Z62" s="107"/>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row>
    <row r="63" spans="1:61" s="189" customFormat="1" hidden="1" outlineLevel="1">
      <c r="A63" s="12"/>
      <c r="B63" s="154"/>
      <c r="C63" s="282" t="str">
        <f t="shared" si="24"/>
        <v>Replacement expenditure (Group 3)</v>
      </c>
      <c r="D63" s="12"/>
      <c r="E63" s="12"/>
      <c r="F63" s="115"/>
      <c r="G63" s="204">
        <f>Input!T64-Input!T98</f>
        <v>19.058201582158276</v>
      </c>
      <c r="H63" s="107">
        <f>Input!U64-Input!U98</f>
        <v>6.3008922926976494</v>
      </c>
      <c r="I63" s="107">
        <f>Input!V64-Input!V98</f>
        <v>6.0986592075726547</v>
      </c>
      <c r="J63" s="107">
        <f>Input!W64-Input!W98</f>
        <v>4.7836250366915376</v>
      </c>
      <c r="K63" s="107">
        <f>Input!X64-Input!X98</f>
        <v>5.2823794440878968</v>
      </c>
      <c r="L63" s="107">
        <f>Input!Y64-Input!Y98</f>
        <v>11.261711827360612</v>
      </c>
      <c r="M63" s="283"/>
      <c r="N63" s="283"/>
      <c r="O63" s="283"/>
      <c r="P63" s="283"/>
      <c r="Q63" s="283"/>
      <c r="R63" s="283"/>
      <c r="S63" s="107"/>
      <c r="T63" s="107"/>
      <c r="U63" s="107"/>
      <c r="V63" s="107"/>
      <c r="W63" s="107"/>
      <c r="X63" s="107"/>
      <c r="Y63" s="107"/>
      <c r="Z63" s="107"/>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row>
    <row r="64" spans="1:61" s="189" customFormat="1" hidden="1" outlineLevel="1">
      <c r="A64" s="12"/>
      <c r="B64" s="154"/>
      <c r="C64" s="282" t="str">
        <f t="shared" si="24"/>
        <v>Environment, safety &amp; legal</v>
      </c>
      <c r="D64" s="12"/>
      <c r="E64" s="12"/>
      <c r="F64" s="115"/>
      <c r="G64" s="204">
        <f>Input!T65-Input!T99</f>
        <v>1.3927899462676534</v>
      </c>
      <c r="H64" s="107">
        <f>Input!U65-Input!U99</f>
        <v>7.8591950277169937</v>
      </c>
      <c r="I64" s="107">
        <f>Input!V65-Input!V99</f>
        <v>8.53628543630259</v>
      </c>
      <c r="J64" s="107">
        <f>Input!W65-Input!W99</f>
        <v>13.814277798130037</v>
      </c>
      <c r="K64" s="107">
        <f>Input!X65-Input!X99</f>
        <v>12.10363839858778</v>
      </c>
      <c r="L64" s="107">
        <f>Input!Y65-Input!Y99</f>
        <v>12.637176735707355</v>
      </c>
      <c r="M64" s="283"/>
      <c r="N64" s="283"/>
      <c r="O64" s="283"/>
      <c r="P64" s="283"/>
      <c r="Q64" s="283"/>
      <c r="R64" s="283"/>
      <c r="S64" s="107"/>
      <c r="T64" s="107"/>
      <c r="U64" s="107"/>
      <c r="V64" s="107"/>
      <c r="W64" s="107"/>
      <c r="X64" s="107"/>
      <c r="Y64" s="107"/>
      <c r="Z64" s="107"/>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row>
    <row r="65" spans="1:61" s="189" customFormat="1" hidden="1" outlineLevel="1">
      <c r="A65" s="12"/>
      <c r="B65" s="154"/>
      <c r="C65" s="282" t="str">
        <f t="shared" si="24"/>
        <v>SCADA/Network control</v>
      </c>
      <c r="D65" s="12"/>
      <c r="E65" s="12"/>
      <c r="F65" s="115"/>
      <c r="G65" s="204">
        <f>Input!T66-Input!T100</f>
        <v>0.79555182538509217</v>
      </c>
      <c r="H65" s="107">
        <f>Input!U66-Input!U100</f>
        <v>0.90239203171009863</v>
      </c>
      <c r="I65" s="107">
        <f>Input!V66-Input!V100</f>
        <v>3.3644581087896523</v>
      </c>
      <c r="J65" s="107">
        <f>Input!W66-Input!W100</f>
        <v>2.6577994039104653</v>
      </c>
      <c r="K65" s="107">
        <f>Input!X66-Input!X100</f>
        <v>2.6352712460517926</v>
      </c>
      <c r="L65" s="107">
        <f>Input!Y66-Input!Y100</f>
        <v>2.1416347842839683</v>
      </c>
      <c r="M65" s="283"/>
      <c r="N65" s="283"/>
      <c r="O65" s="283"/>
      <c r="P65" s="283"/>
      <c r="Q65" s="283"/>
      <c r="R65" s="283"/>
      <c r="S65" s="107"/>
      <c r="T65" s="107"/>
      <c r="U65" s="107"/>
      <c r="V65" s="107"/>
      <c r="W65" s="107"/>
      <c r="X65" s="107"/>
      <c r="Y65" s="107"/>
      <c r="Z65" s="107"/>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row>
    <row r="66" spans="1:61" s="189" customFormat="1" hidden="1" outlineLevel="1">
      <c r="A66" s="12"/>
      <c r="B66" s="154"/>
      <c r="C66" s="282" t="str">
        <f t="shared" si="24"/>
        <v>Non-network general assets - IT</v>
      </c>
      <c r="D66" s="12"/>
      <c r="E66" s="12"/>
      <c r="F66" s="115"/>
      <c r="G66" s="204">
        <f>Input!T67-Input!T101</f>
        <v>4.575097406073624</v>
      </c>
      <c r="H66" s="107">
        <f>Input!U67-Input!U101</f>
        <v>3.5418804899201648</v>
      </c>
      <c r="I66" s="107">
        <f>Input!V67-Input!V101</f>
        <v>5.8715034632311722</v>
      </c>
      <c r="J66" s="107">
        <f>Input!W67-Input!W101</f>
        <v>5.1027437895067491</v>
      </c>
      <c r="K66" s="107">
        <f>Input!X67-Input!X101</f>
        <v>8.7078966784837029</v>
      </c>
      <c r="L66" s="107">
        <f>Input!Y67-Input!Y101</f>
        <v>15.500636999999999</v>
      </c>
      <c r="M66" s="283"/>
      <c r="N66" s="283"/>
      <c r="O66" s="283"/>
      <c r="P66" s="283"/>
      <c r="Q66" s="283"/>
      <c r="R66" s="283"/>
      <c r="S66" s="107"/>
      <c r="T66" s="107"/>
      <c r="U66" s="107"/>
      <c r="V66" s="107"/>
      <c r="W66" s="107"/>
      <c r="X66" s="107"/>
      <c r="Y66" s="107"/>
      <c r="Z66" s="107"/>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row>
    <row r="67" spans="1:61" s="189" customFormat="1" hidden="1" outlineLevel="1">
      <c r="A67" s="12"/>
      <c r="B67" s="154"/>
      <c r="C67" s="282" t="str">
        <f t="shared" si="24"/>
        <v>Non-network general assets - Other</v>
      </c>
      <c r="D67" s="12"/>
      <c r="E67" s="12"/>
      <c r="F67" s="115"/>
      <c r="G67" s="204">
        <f>Input!T68-Input!T102</f>
        <v>1.1907127229808718</v>
      </c>
      <c r="H67" s="107">
        <f>Input!U68-Input!U102</f>
        <v>1.9383328822735448</v>
      </c>
      <c r="I67" s="107">
        <f>Input!V68-Input!V102</f>
        <v>0.61401748173369175</v>
      </c>
      <c r="J67" s="107">
        <f>Input!W68-Input!W102</f>
        <v>2.5297177323067572</v>
      </c>
      <c r="K67" s="107">
        <f>Input!X68-Input!X102</f>
        <v>5.1273239730676323</v>
      </c>
      <c r="L67" s="107">
        <f>Input!Y68-Input!Y102</f>
        <v>2.7022712590173943</v>
      </c>
      <c r="M67" s="283"/>
      <c r="N67" s="283"/>
      <c r="O67" s="283"/>
      <c r="P67" s="283"/>
      <c r="Q67" s="283"/>
      <c r="R67" s="283"/>
      <c r="S67" s="107"/>
      <c r="T67" s="107"/>
      <c r="U67" s="107"/>
      <c r="V67" s="107"/>
      <c r="W67" s="107"/>
      <c r="X67" s="107"/>
      <c r="Y67" s="107"/>
      <c r="Z67" s="107"/>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row>
    <row r="68" spans="1:61" s="189" customFormat="1" hidden="1" outlineLevel="1">
      <c r="A68" s="12"/>
      <c r="B68" s="154"/>
      <c r="C68" s="282"/>
      <c r="D68" s="12"/>
      <c r="E68" s="12"/>
      <c r="F68" s="115"/>
      <c r="G68" s="204"/>
      <c r="H68" s="107"/>
      <c r="I68" s="107"/>
      <c r="J68" s="107"/>
      <c r="K68" s="107"/>
      <c r="L68" s="107"/>
      <c r="M68" s="283"/>
      <c r="N68" s="283"/>
      <c r="O68" s="283"/>
      <c r="P68" s="283"/>
      <c r="Q68" s="283"/>
      <c r="R68" s="283"/>
      <c r="S68" s="107"/>
      <c r="T68" s="107"/>
      <c r="U68" s="107"/>
      <c r="V68" s="107"/>
      <c r="W68" s="107"/>
      <c r="X68" s="107"/>
      <c r="Y68" s="107"/>
      <c r="Z68" s="107"/>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row>
    <row r="69" spans="1:61" s="189" customFormat="1" hidden="1" outlineLevel="1">
      <c r="A69" s="12"/>
      <c r="B69" s="154"/>
      <c r="C69" s="282" t="str">
        <f t="shared" si="24"/>
        <v>Equity Raising Costs</v>
      </c>
      <c r="D69" s="12"/>
      <c r="E69" s="12"/>
      <c r="F69" s="115"/>
      <c r="G69" s="204">
        <f>Input!T70-Input!T104</f>
        <v>0</v>
      </c>
      <c r="H69" s="107">
        <f>Input!U70-Input!U104</f>
        <v>2.7951914999749734</v>
      </c>
      <c r="I69" s="107">
        <f>Input!V70-Input!V104</f>
        <v>0</v>
      </c>
      <c r="J69" s="107">
        <f>Input!W70-Input!W104</f>
        <v>0</v>
      </c>
      <c r="K69" s="107">
        <f>Input!X70-Input!X104</f>
        <v>0</v>
      </c>
      <c r="L69" s="107">
        <f>Input!Y70-Input!Y104</f>
        <v>0</v>
      </c>
      <c r="M69" s="107"/>
      <c r="N69" s="107"/>
      <c r="O69" s="107"/>
      <c r="P69" s="107"/>
      <c r="Q69" s="107"/>
      <c r="R69" s="107"/>
      <c r="S69" s="107"/>
      <c r="T69" s="107"/>
      <c r="U69" s="107"/>
      <c r="V69" s="107"/>
      <c r="W69" s="107"/>
      <c r="X69" s="107"/>
      <c r="Y69" s="107"/>
      <c r="Z69" s="107"/>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row>
    <row r="70" spans="1:61" s="189" customFormat="1" collapsed="1">
      <c r="A70" s="12"/>
      <c r="B70" s="277"/>
      <c r="C70" s="281"/>
      <c r="D70" s="12"/>
      <c r="E70" s="12"/>
      <c r="F70" s="115"/>
      <c r="G70" s="204"/>
      <c r="H70" s="107"/>
      <c r="I70" s="107"/>
      <c r="J70" s="107"/>
      <c r="K70" s="107"/>
      <c r="L70" s="107"/>
      <c r="M70" s="107"/>
      <c r="N70" s="107"/>
      <c r="O70" s="107"/>
      <c r="P70" s="107"/>
      <c r="Q70" s="107"/>
      <c r="R70" s="107"/>
      <c r="S70" s="107"/>
      <c r="T70" s="107"/>
      <c r="U70" s="107"/>
      <c r="V70" s="107"/>
      <c r="W70" s="107"/>
      <c r="X70" s="107"/>
      <c r="Y70" s="107"/>
      <c r="Z70" s="107"/>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row>
    <row r="71" spans="1:61" s="189" customFormat="1">
      <c r="A71" s="9"/>
      <c r="B71" s="276" t="s">
        <v>72</v>
      </c>
      <c r="C71" s="276"/>
      <c r="D71" s="9"/>
      <c r="E71" s="9"/>
      <c r="F71" s="23"/>
      <c r="G71" s="204">
        <f t="shared" ref="G71:R71" si="25">SUM(G72:G101)</f>
        <v>-59.383809925522925</v>
      </c>
      <c r="H71" s="107">
        <f t="shared" si="25"/>
        <v>-56.82558479008528</v>
      </c>
      <c r="I71" s="107">
        <f t="shared" si="25"/>
        <v>-58.063683284076731</v>
      </c>
      <c r="J71" s="107">
        <f t="shared" si="25"/>
        <v>-71.490664504931274</v>
      </c>
      <c r="K71" s="107">
        <f t="shared" si="25"/>
        <v>-73.467187903705067</v>
      </c>
      <c r="L71" s="107">
        <f t="shared" si="25"/>
        <v>-84.703993291215511</v>
      </c>
      <c r="M71" s="107">
        <f t="shared" si="25"/>
        <v>-64.074942638499863</v>
      </c>
      <c r="N71" s="107">
        <f t="shared" si="25"/>
        <v>-57.50420495879041</v>
      </c>
      <c r="O71" s="107">
        <f t="shared" si="25"/>
        <v>-52.494325213543334</v>
      </c>
      <c r="P71" s="107">
        <f t="shared" si="25"/>
        <v>-48.501159143426385</v>
      </c>
      <c r="Q71" s="107">
        <f t="shared" si="25"/>
        <v>-45.190210429220201</v>
      </c>
      <c r="R71" s="107">
        <f t="shared" si="25"/>
        <v>0</v>
      </c>
      <c r="S71" s="190"/>
      <c r="T71" s="190"/>
      <c r="U71" s="190"/>
      <c r="V71" s="190"/>
      <c r="W71" s="190"/>
      <c r="X71" s="190"/>
      <c r="Y71" s="190"/>
      <c r="Z71" s="19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row>
    <row r="72" spans="1:61" s="189" customFormat="1" hidden="1" outlineLevel="1">
      <c r="A72" s="12"/>
      <c r="B72" s="277"/>
      <c r="C72" s="282" t="str">
        <f>C8</f>
        <v>Group 1</v>
      </c>
      <c r="D72" s="12"/>
      <c r="E72" s="12"/>
      <c r="F72" s="115"/>
      <c r="G72" s="107"/>
      <c r="H72" s="107"/>
      <c r="I72" s="107"/>
      <c r="J72" s="107"/>
      <c r="K72" s="107"/>
      <c r="L72" s="107"/>
      <c r="M72" s="107"/>
      <c r="N72" s="107"/>
      <c r="O72" s="107"/>
      <c r="P72" s="107"/>
      <c r="Q72" s="107"/>
      <c r="R72" s="107"/>
      <c r="S72" s="107"/>
      <c r="T72" s="107"/>
      <c r="U72" s="107"/>
      <c r="V72" s="107"/>
      <c r="W72" s="107"/>
      <c r="X72" s="107"/>
      <c r="Y72" s="107"/>
      <c r="Z72" s="107"/>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row>
    <row r="73" spans="1:61" s="189" customFormat="1" hidden="1" outlineLevel="1">
      <c r="A73" s="12"/>
      <c r="B73" s="277"/>
      <c r="C73" s="282" t="str">
        <f t="shared" ref="C73:C101" si="26">C9</f>
        <v>Land</v>
      </c>
      <c r="D73" s="12"/>
      <c r="E73" s="12"/>
      <c r="F73" s="115"/>
      <c r="G73" s="107">
        <f>-IF(Input!$T8=1,G41,(G9+G41*0.5)*Input!$T8)</f>
        <v>0</v>
      </c>
      <c r="H73" s="107">
        <f>-IF(Input!$T8=1,H41,(H9+H41*0.5)*Input!$T8)</f>
        <v>0</v>
      </c>
      <c r="I73" s="107">
        <f>-IF(Input!$T8=1,I41,(I9+I41*0.5)*Input!$T8)</f>
        <v>0</v>
      </c>
      <c r="J73" s="107">
        <f>-IF(Input!$T8=1,J41,(J9+J41*0.5)*Input!$T8)</f>
        <v>0</v>
      </c>
      <c r="K73" s="107">
        <f>-IF(Input!$T8=1,K41,(K9+K41*0.5)*Input!$T8)</f>
        <v>0</v>
      </c>
      <c r="L73" s="107">
        <f>-IF(Input!$T8=1,L41,(L9+L41*0.5)*Input!$T8)</f>
        <v>0</v>
      </c>
      <c r="M73" s="107">
        <f>-IF(Input!$T8=1,M41,(M9+M41*0.5)*Input!$T8)</f>
        <v>0</v>
      </c>
      <c r="N73" s="107">
        <f>-IF(Input!$T8=1,N41,(N9+N41*0.5)*Input!$T8)</f>
        <v>0</v>
      </c>
      <c r="O73" s="107">
        <f>-IF(Input!$T8=1,O41,(O9+O41*0.5)*Input!$T8)</f>
        <v>0</v>
      </c>
      <c r="P73" s="107">
        <f>-IF(Input!$T8=1,P41,(P9+P41*0.5)*Input!$T8)</f>
        <v>0</v>
      </c>
      <c r="Q73" s="107">
        <f>-IF(Input!$T8=1,Q41,(Q9+Q41*0.5)*Input!$T8)</f>
        <v>0</v>
      </c>
      <c r="R73" s="107"/>
      <c r="S73" s="107"/>
      <c r="T73" s="107"/>
      <c r="U73" s="107"/>
      <c r="V73" s="107"/>
      <c r="W73" s="107"/>
      <c r="X73" s="107"/>
      <c r="Y73" s="107"/>
      <c r="Z73" s="107"/>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row>
    <row r="74" spans="1:61" s="189" customFormat="1" hidden="1" outlineLevel="1">
      <c r="A74" s="12"/>
      <c r="B74" s="277"/>
      <c r="C74" s="282" t="str">
        <f t="shared" si="26"/>
        <v>6.7 to 10 yrs</v>
      </c>
      <c r="D74" s="12"/>
      <c r="E74" s="12"/>
      <c r="F74" s="115"/>
      <c r="G74" s="107">
        <f>-IF(Input!$T9=1,G42,(G10+G42*0.5)*Input!$T9)</f>
        <v>0</v>
      </c>
      <c r="H74" s="107">
        <f>-IF(Input!$T9=1,H42,(H10+H42*0.5)*Input!$T9)</f>
        <v>0</v>
      </c>
      <c r="I74" s="107">
        <f>-IF(Input!$T9=1,I42,(I10+I42*0.5)*Input!$T9)</f>
        <v>0</v>
      </c>
      <c r="J74" s="107">
        <f>-IF(Input!$T9=1,J42,(J10+J42*0.5)*Input!$T9)</f>
        <v>0</v>
      </c>
      <c r="K74" s="107">
        <f>-IF(Input!$T9=1,K42,(K10+K42*0.5)*Input!$T9)</f>
        <v>0</v>
      </c>
      <c r="L74" s="107">
        <f>-IF(Input!$T9=1,L42,(L10+L42*0.5)*Input!$T9)</f>
        <v>0</v>
      </c>
      <c r="M74" s="107">
        <f>-IF(Input!$T9=1,M42,(M10+M42*0.5)*Input!$T9)</f>
        <v>0</v>
      </c>
      <c r="N74" s="107">
        <f>-IF(Input!$T9=1,N42,(N10+N42*0.5)*Input!$T9)</f>
        <v>0</v>
      </c>
      <c r="O74" s="107">
        <f>-IF(Input!$T9=1,O42,(O10+O42*0.5)*Input!$T9)</f>
        <v>0</v>
      </c>
      <c r="P74" s="107">
        <f>-IF(Input!$T9=1,P42,(P10+P42*0.5)*Input!$T9)</f>
        <v>0</v>
      </c>
      <c r="Q74" s="107">
        <f>-IF(Input!$T9=1,Q42,(Q10+Q42*0.5)*Input!$T9)</f>
        <v>0</v>
      </c>
      <c r="R74" s="107"/>
      <c r="S74" s="107"/>
      <c r="T74" s="107"/>
      <c r="U74" s="107"/>
      <c r="V74" s="107"/>
      <c r="W74" s="107"/>
      <c r="X74" s="107"/>
      <c r="Y74" s="107"/>
      <c r="Z74" s="107"/>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row>
    <row r="75" spans="1:61" s="189" customFormat="1" hidden="1" outlineLevel="1">
      <c r="A75" s="12"/>
      <c r="B75" s="277"/>
      <c r="C75" s="282" t="str">
        <f t="shared" si="26"/>
        <v>10 to 13 yrs</v>
      </c>
      <c r="D75" s="12"/>
      <c r="E75" s="12"/>
      <c r="F75" s="115"/>
      <c r="G75" s="107">
        <f>-IF(Input!$T10=1,G43,(G11+G43*0.5)*Input!$T10)</f>
        <v>-0.26960145564318994</v>
      </c>
      <c r="H75" s="107">
        <f>-IF(Input!$T10=1,H43,(H11+H43*0.5)*Input!$T10)</f>
        <v>-0.20220109173239245</v>
      </c>
      <c r="I75" s="107">
        <f>-IF(Input!$T10=1,I43,(I11+I43*0.5)*Input!$T10)</f>
        <v>-0.15165081879929435</v>
      </c>
      <c r="J75" s="107">
        <f>-IF(Input!$T10=1,J43,(J11+J43*0.5)*Input!$T10)</f>
        <v>-0.11373811409947077</v>
      </c>
      <c r="K75" s="107">
        <f>-IF(Input!$T10=1,K43,(K11+K43*0.5)*Input!$T10)</f>
        <v>-8.5303585574603075E-2</v>
      </c>
      <c r="L75" s="107">
        <f>-IF(Input!$T10=1,L43,(L11+L43*0.5)*Input!$T10)</f>
        <v>-6.3977689180952313E-2</v>
      </c>
      <c r="M75" s="107">
        <f>-IF(Input!$T10=1,M43,(M11+M43*0.5)*Input!$T10)</f>
        <v>-4.7983266885714235E-2</v>
      </c>
      <c r="N75" s="107">
        <f>-IF(Input!$T10=1,N43,(N11+N43*0.5)*Input!$T10)</f>
        <v>-3.5987450164285673E-2</v>
      </c>
      <c r="O75" s="107">
        <f>-IF(Input!$T10=1,O43,(O11+O43*0.5)*Input!$T10)</f>
        <v>-2.6990587623214254E-2</v>
      </c>
      <c r="P75" s="107">
        <f>-IF(Input!$T10=1,P43,(P11+P43*0.5)*Input!$T10)</f>
        <v>-2.0242940717410691E-2</v>
      </c>
      <c r="Q75" s="107">
        <f>-IF(Input!$T10=1,Q43,(Q11+Q43*0.5)*Input!$T10)</f>
        <v>-1.5182205538058019E-2</v>
      </c>
      <c r="R75" s="107"/>
      <c r="S75" s="107"/>
      <c r="T75" s="107"/>
      <c r="U75" s="107"/>
      <c r="V75" s="107"/>
      <c r="W75" s="107"/>
      <c r="X75" s="107"/>
      <c r="Y75" s="107"/>
      <c r="Z75" s="107"/>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row>
    <row r="76" spans="1:61" s="189" customFormat="1" hidden="1" outlineLevel="1">
      <c r="A76" s="12"/>
      <c r="B76" s="277"/>
      <c r="C76" s="282" t="str">
        <f t="shared" si="26"/>
        <v>13 to 30yrs</v>
      </c>
      <c r="D76" s="12"/>
      <c r="E76" s="12"/>
      <c r="F76" s="115"/>
      <c r="G76" s="107">
        <f>-IF(Input!$T11=1,G44,(G12+G44*0.5)*Input!$T11)</f>
        <v>-0.26136220662199883</v>
      </c>
      <c r="H76" s="107">
        <f>-IF(Input!$T11=1,H44,(H12+H44*0.5)*Input!$T11)</f>
        <v>-0.20908976529759907</v>
      </c>
      <c r="I76" s="107">
        <f>-IF(Input!$T11=1,I44,(I12+I44*0.5)*Input!$T11)</f>
        <v>-0.16727181223807927</v>
      </c>
      <c r="J76" s="107">
        <f>-IF(Input!$T11=1,J44,(J12+J44*0.5)*Input!$T11)</f>
        <v>-0.13381744979046339</v>
      </c>
      <c r="K76" s="107">
        <f>-IF(Input!$T11=1,K44,(K12+K44*0.5)*Input!$T11)</f>
        <v>-0.10705395983237072</v>
      </c>
      <c r="L76" s="107">
        <f>-IF(Input!$T11=1,L44,(L12+L44*0.5)*Input!$T11)</f>
        <v>-8.5643167865896583E-2</v>
      </c>
      <c r="M76" s="107">
        <f>-IF(Input!$T11=1,M44,(M12+M44*0.5)*Input!$T11)</f>
        <v>-6.8514534292717255E-2</v>
      </c>
      <c r="N76" s="107">
        <f>-IF(Input!$T11=1,N44,(N12+N44*0.5)*Input!$T11)</f>
        <v>-5.481162743417381E-2</v>
      </c>
      <c r="O76" s="107">
        <f>-IF(Input!$T11=1,O44,(O12+O44*0.5)*Input!$T11)</f>
        <v>-4.3849301947339048E-2</v>
      </c>
      <c r="P76" s="107">
        <f>-IF(Input!$T11=1,P44,(P12+P44*0.5)*Input!$T11)</f>
        <v>-3.5079441557871231E-2</v>
      </c>
      <c r="Q76" s="107">
        <f>-IF(Input!$T11=1,Q44,(Q12+Q44*0.5)*Input!$T11)</f>
        <v>-2.8063553246296988E-2</v>
      </c>
      <c r="R76" s="107"/>
      <c r="S76" s="107"/>
      <c r="T76" s="107"/>
      <c r="U76" s="107"/>
      <c r="V76" s="107"/>
      <c r="W76" s="107"/>
      <c r="X76" s="107"/>
      <c r="Y76" s="107"/>
      <c r="Z76" s="107"/>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row>
    <row r="77" spans="1:61" s="189" customFormat="1" hidden="1" outlineLevel="1">
      <c r="A77" s="12"/>
      <c r="B77" s="277"/>
      <c r="C77" s="282" t="str">
        <f t="shared" si="26"/>
        <v>&gt; 30 years</v>
      </c>
      <c r="D77" s="12"/>
      <c r="E77" s="12"/>
      <c r="F77" s="115"/>
      <c r="G77" s="107">
        <f>-IF(Input!$T12=1,G45,(G13+G45*0.5)*Input!$T12)</f>
        <v>-12.274843206341654</v>
      </c>
      <c r="H77" s="107">
        <f>-IF(Input!$T12=1,H45,(H13+H45*0.5)*Input!$T12)</f>
        <v>-11.047358885707489</v>
      </c>
      <c r="I77" s="107">
        <f>-IF(Input!$T12=1,I45,(I13+I45*0.5)*Input!$T12)</f>
        <v>-9.9426229971367377</v>
      </c>
      <c r="J77" s="107">
        <f>-IF(Input!$T12=1,J45,(J13+J45*0.5)*Input!$T12)</f>
        <v>-8.9483606974230643</v>
      </c>
      <c r="K77" s="107">
        <f>-IF(Input!$T12=1,K45,(K13+K45*0.5)*Input!$T12)</f>
        <v>-8.0535246276807566</v>
      </c>
      <c r="L77" s="107">
        <f>-IF(Input!$T12=1,L45,(L13+L45*0.5)*Input!$T12)</f>
        <v>-7.2481721649126811</v>
      </c>
      <c r="M77" s="107">
        <f>-IF(Input!$T12=1,M45,(M13+M45*0.5)*Input!$T12)</f>
        <v>-6.5233549484214137</v>
      </c>
      <c r="N77" s="107">
        <f>-IF(Input!$T12=1,N45,(N13+N45*0.5)*Input!$T12)</f>
        <v>-5.8710194535792724</v>
      </c>
      <c r="O77" s="107">
        <f>-IF(Input!$T12=1,O45,(O13+O45*0.5)*Input!$T12)</f>
        <v>-5.2839175082213456</v>
      </c>
      <c r="P77" s="107">
        <f>-IF(Input!$T12=1,P45,(P13+P45*0.5)*Input!$T12)</f>
        <v>-4.7555257573992114</v>
      </c>
      <c r="Q77" s="107">
        <f>-IF(Input!$T12=1,Q45,(Q13+Q45*0.5)*Input!$T12)</f>
        <v>-4.2799731816592894</v>
      </c>
      <c r="R77" s="107"/>
      <c r="S77" s="107"/>
      <c r="T77" s="107"/>
      <c r="U77" s="107"/>
      <c r="V77" s="107"/>
      <c r="W77" s="107"/>
      <c r="X77" s="107"/>
      <c r="Y77" s="107"/>
      <c r="Z77" s="107"/>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row>
    <row r="78" spans="1:61" s="189" customFormat="1" hidden="1" outlineLevel="1">
      <c r="A78" s="12"/>
      <c r="B78" s="277"/>
      <c r="C78" s="282"/>
      <c r="D78" s="12"/>
      <c r="E78" s="12"/>
      <c r="F78" s="115"/>
      <c r="G78" s="107"/>
      <c r="H78" s="107"/>
      <c r="I78" s="107"/>
      <c r="J78" s="107"/>
      <c r="K78" s="107"/>
      <c r="L78" s="107"/>
      <c r="M78" s="107"/>
      <c r="N78" s="107"/>
      <c r="O78" s="107"/>
      <c r="P78" s="107"/>
      <c r="Q78" s="107"/>
      <c r="R78" s="107"/>
      <c r="S78" s="107"/>
      <c r="T78" s="107"/>
      <c r="U78" s="107"/>
      <c r="V78" s="107"/>
      <c r="W78" s="107"/>
      <c r="X78" s="107"/>
      <c r="Y78" s="107"/>
      <c r="Z78" s="107"/>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row>
    <row r="79" spans="1:61" s="189" customFormat="1" hidden="1" outlineLevel="1">
      <c r="A79" s="12"/>
      <c r="B79" s="277"/>
      <c r="C79" s="282" t="str">
        <f t="shared" si="26"/>
        <v>Group 2</v>
      </c>
      <c r="D79" s="12"/>
      <c r="E79" s="12"/>
      <c r="F79" s="115"/>
      <c r="G79" s="107"/>
      <c r="H79" s="107"/>
      <c r="I79" s="107"/>
      <c r="J79" s="107"/>
      <c r="K79" s="107"/>
      <c r="L79" s="107"/>
      <c r="M79" s="107"/>
      <c r="N79" s="107"/>
      <c r="O79" s="107"/>
      <c r="P79" s="107"/>
      <c r="Q79" s="107"/>
      <c r="R79" s="107"/>
      <c r="S79" s="107"/>
      <c r="T79" s="107"/>
      <c r="U79" s="107"/>
      <c r="V79" s="107"/>
      <c r="W79" s="107"/>
      <c r="X79" s="107"/>
      <c r="Y79" s="107"/>
      <c r="Z79" s="107"/>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row>
    <row r="80" spans="1:61" s="189" customFormat="1" hidden="1" outlineLevel="1">
      <c r="A80" s="12"/>
      <c r="B80" s="277"/>
      <c r="C80" s="282" t="str">
        <f t="shared" si="26"/>
        <v>Demand related capital expenditure</v>
      </c>
      <c r="D80" s="12"/>
      <c r="E80" s="12"/>
      <c r="F80" s="115"/>
      <c r="G80" s="107">
        <f>-IF(Input!$T15=1,G48,(G16+G48*0.5)*Input!$T15)</f>
        <v>-6.8938840014060592</v>
      </c>
      <c r="H80" s="107">
        <f>-IF(Input!$T15=1,H48,(H16+H48*0.5)*Input!$T15)</f>
        <v>-6.6870674813638775</v>
      </c>
      <c r="I80" s="107">
        <f>-IF(Input!$T15=1,I48,(I16+I48*0.5)*Input!$T15)</f>
        <v>-6.4864554569229611</v>
      </c>
      <c r="J80" s="107">
        <f>-IF(Input!$T15=1,J48,(J16+J48*0.5)*Input!$T15)</f>
        <v>-6.2918617932152729</v>
      </c>
      <c r="K80" s="107">
        <f>-IF(Input!$T15=1,K48,(K16+K48*0.5)*Input!$T15)</f>
        <v>-6.1031059394188141</v>
      </c>
      <c r="L80" s="107">
        <f>-IF(Input!$T15=1,L48,(L16+L48*0.5)*Input!$T15)</f>
        <v>-5.9200127612362499</v>
      </c>
      <c r="M80" s="107">
        <f>-IF(Input!$T15=1,M48,(M16+M48*0.5)*Input!$T15)</f>
        <v>-5.7424123783991625</v>
      </c>
      <c r="N80" s="107">
        <f>-IF(Input!$T15=1,N48,(N16+N48*0.5)*Input!$T15)</f>
        <v>-5.5701400070471871</v>
      </c>
      <c r="O80" s="107">
        <f>-IF(Input!$T15=1,O48,(O16+O48*0.5)*Input!$T15)</f>
        <v>-5.4030358068357716</v>
      </c>
      <c r="P80" s="107">
        <f>-IF(Input!$T15=1,P48,(P16+P48*0.5)*Input!$T15)</f>
        <v>-5.240944732630699</v>
      </c>
      <c r="Q80" s="107">
        <f>-IF(Input!$T15=1,Q48,(Q16+Q48*0.5)*Input!$T15)</f>
        <v>-5.0837163906517775</v>
      </c>
      <c r="R80" s="107"/>
      <c r="S80" s="107"/>
      <c r="T80" s="107"/>
      <c r="U80" s="107"/>
      <c r="V80" s="107"/>
      <c r="W80" s="107"/>
      <c r="X80" s="107"/>
      <c r="Y80" s="107"/>
      <c r="Z80" s="107"/>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row>
    <row r="81" spans="1:61" s="189" customFormat="1" hidden="1" outlineLevel="1">
      <c r="A81" s="12"/>
      <c r="B81" s="277"/>
      <c r="C81" s="282" t="str">
        <f t="shared" si="26"/>
        <v>Replacement expenditure (Group 1)</v>
      </c>
      <c r="D81" s="12"/>
      <c r="E81" s="12"/>
      <c r="F81" s="115"/>
      <c r="G81" s="107">
        <f>-IF(Input!$T16=1,G49,(G17+G49*0.5)*Input!$T16)</f>
        <v>0</v>
      </c>
      <c r="H81" s="107">
        <f>-IF(Input!$T16=1,H49,(H17+H49*0.5)*Input!$T16)</f>
        <v>0</v>
      </c>
      <c r="I81" s="107">
        <f>-IF(Input!$T16=1,I49,(I17+I49*0.5)*Input!$T16)</f>
        <v>0</v>
      </c>
      <c r="J81" s="107">
        <f>-IF(Input!$T16=1,J49,(J17+J49*0.5)*Input!$T16)</f>
        <v>0</v>
      </c>
      <c r="K81" s="107">
        <f>-IF(Input!$T16=1,K49,(K17+K49*0.5)*Input!$T16)</f>
        <v>0</v>
      </c>
      <c r="L81" s="107">
        <f>-IF(Input!$T16=1,L49,(L17+L49*0.5)*Input!$T16)</f>
        <v>0</v>
      </c>
      <c r="M81" s="107">
        <f>-IF(Input!$T16=1,M49,(M17+M49*0.5)*Input!$T16)</f>
        <v>0</v>
      </c>
      <c r="N81" s="107">
        <f>-IF(Input!$T16=1,N49,(N17+N49*0.5)*Input!$T16)</f>
        <v>0</v>
      </c>
      <c r="O81" s="107">
        <f>-IF(Input!$T16=1,O49,(O17+O49*0.5)*Input!$T16)</f>
        <v>0</v>
      </c>
      <c r="P81" s="107">
        <f>-IF(Input!$T16=1,P49,(P17+P49*0.5)*Input!$T16)</f>
        <v>0</v>
      </c>
      <c r="Q81" s="107">
        <f>-IF(Input!$T16=1,Q49,(Q17+Q49*0.5)*Input!$T16)</f>
        <v>0</v>
      </c>
      <c r="R81" s="107"/>
      <c r="S81" s="107"/>
      <c r="T81" s="107"/>
      <c r="U81" s="107"/>
      <c r="V81" s="107"/>
      <c r="W81" s="107"/>
      <c r="X81" s="107"/>
      <c r="Y81" s="107"/>
      <c r="Z81" s="107"/>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row>
    <row r="82" spans="1:61" hidden="1" outlineLevel="1">
      <c r="C82" s="282" t="str">
        <f t="shared" si="26"/>
        <v>Replacement expenditure (Group 2)</v>
      </c>
      <c r="G82" s="107">
        <f>-IF(Input!$T17=1,G50,(G18+G50*0.5)*Input!$T17)</f>
        <v>-0.39656066860010691</v>
      </c>
      <c r="H82" s="107">
        <f>-IF(Input!$T17=1,H50,(H18+H50*0.5)*Input!$T17)</f>
        <v>-0.36681861845509889</v>
      </c>
      <c r="I82" s="107">
        <f>-IF(Input!$T17=1,I50,(I18+I50*0.5)*Input!$T17)</f>
        <v>-0.33930722207096647</v>
      </c>
      <c r="J82" s="107">
        <f>-IF(Input!$T17=1,J50,(J18+J50*0.5)*Input!$T17)</f>
        <v>-0.31385918041564392</v>
      </c>
      <c r="K82" s="107">
        <f>-IF(Input!$T17=1,K50,(K18+K50*0.5)*Input!$T17)</f>
        <v>-0.29031974188447063</v>
      </c>
      <c r="L82" s="107">
        <f>-IF(Input!$T17=1,L50,(L18+L50*0.5)*Input!$T17)</f>
        <v>-0.26854576124313534</v>
      </c>
      <c r="M82" s="107">
        <f>-IF(Input!$T17=1,M50,(M18+M50*0.5)*Input!$T17)</f>
        <v>-0.2484048291499002</v>
      </c>
      <c r="N82" s="107">
        <f>-IF(Input!$T17=1,N50,(N18+N50*0.5)*Input!$T17)</f>
        <v>-0.22977446696365769</v>
      </c>
      <c r="O82" s="107">
        <f>-IF(Input!$T17=1,O50,(O18+O50*0.5)*Input!$T17)</f>
        <v>-0.21254138194138336</v>
      </c>
      <c r="P82" s="107">
        <f>-IF(Input!$T17=1,P50,(P18+P50*0.5)*Input!$T17)</f>
        <v>-0.19660077829577963</v>
      </c>
      <c r="Q82" s="107">
        <f>-IF(Input!$T17=1,Q50,(Q18+Q50*0.5)*Input!$T17)</f>
        <v>-0.18185571992359614</v>
      </c>
    </row>
    <row r="83" spans="1:61" hidden="1" outlineLevel="1">
      <c r="C83" s="282" t="str">
        <f t="shared" si="26"/>
        <v>Replacement expenditure (Group 3)</v>
      </c>
      <c r="G83" s="107">
        <f>-IF(Input!$T18=1,G51,(G19+G51*0.5)*Input!$T18)</f>
        <v>-0.3289079505259983</v>
      </c>
      <c r="H83" s="107">
        <f>-IF(Input!$T18=1,H51,(H19+H51*0.5)*Input!$T18)</f>
        <v>-0.31904071201021833</v>
      </c>
      <c r="I83" s="107">
        <f>-IF(Input!$T18=1,I51,(I19+I51*0.5)*Input!$T18)</f>
        <v>-0.30946949064991175</v>
      </c>
      <c r="J83" s="107">
        <f>-IF(Input!$T18=1,J51,(J19+J51*0.5)*Input!$T18)</f>
        <v>-0.30018540593041443</v>
      </c>
      <c r="K83" s="107">
        <f>-IF(Input!$T18=1,K51,(K19+K51*0.5)*Input!$T18)</f>
        <v>-0.291179843752502</v>
      </c>
      <c r="L83" s="107">
        <f>-IF(Input!$T18=1,L51,(L19+L51*0.5)*Input!$T18)</f>
        <v>-0.28244444843992694</v>
      </c>
      <c r="M83" s="107">
        <f>-IF(Input!$T18=1,M51,(M19+M51*0.5)*Input!$T18)</f>
        <v>-0.2739711149867291</v>
      </c>
      <c r="N83" s="107">
        <f>-IF(Input!$T18=1,N51,(N19+N51*0.5)*Input!$T18)</f>
        <v>-0.26575198153712726</v>
      </c>
      <c r="O83" s="107">
        <f>-IF(Input!$T18=1,O51,(O19+O51*0.5)*Input!$T18)</f>
        <v>-0.25777942209101345</v>
      </c>
      <c r="P83" s="107">
        <f>-IF(Input!$T18=1,P51,(P19+P51*0.5)*Input!$T18)</f>
        <v>-0.25004603942828302</v>
      </c>
      <c r="Q83" s="107">
        <f>-IF(Input!$T18=1,Q51,(Q19+Q51*0.5)*Input!$T18)</f>
        <v>-0.24254465824543456</v>
      </c>
    </row>
    <row r="84" spans="1:61" hidden="1" outlineLevel="1">
      <c r="C84" s="282" t="str">
        <f t="shared" si="26"/>
        <v>Environment, safety &amp; legal</v>
      </c>
      <c r="G84" s="107">
        <f>-IF(Input!$T19=1,G52,(G20+G52*0.5)*Input!$T19)</f>
        <v>-0.21370361973649149</v>
      </c>
      <c r="H84" s="107">
        <f>-IF(Input!$T19=1,H52,(H20+H52*0.5)*Input!$T19)</f>
        <v>-0.19767584825625462</v>
      </c>
      <c r="I84" s="107">
        <f>-IF(Input!$T19=1,I52,(I20+I52*0.5)*Input!$T19)</f>
        <v>-0.18285015963703549</v>
      </c>
      <c r="J84" s="107">
        <f>-IF(Input!$T19=1,J52,(J20+J52*0.5)*Input!$T19)</f>
        <v>-0.16913639766425784</v>
      </c>
      <c r="K84" s="107">
        <f>-IF(Input!$T19=1,K52,(K20+K52*0.5)*Input!$T19)</f>
        <v>-0.15645116783943849</v>
      </c>
      <c r="L84" s="107">
        <f>-IF(Input!$T19=1,L52,(L20+L52*0.5)*Input!$T19)</f>
        <v>-0.14471733025148062</v>
      </c>
      <c r="M84" s="107">
        <f>-IF(Input!$T19=1,M52,(M20+M52*0.5)*Input!$T19)</f>
        <v>-0.13386353048261956</v>
      </c>
      <c r="N84" s="107">
        <f>-IF(Input!$T19=1,N52,(N20+N52*0.5)*Input!$T19)</f>
        <v>-0.1238237656964231</v>
      </c>
      <c r="O84" s="107">
        <f>-IF(Input!$T19=1,O52,(O20+O52*0.5)*Input!$T19)</f>
        <v>-0.11453698326919136</v>
      </c>
      <c r="P84" s="107">
        <f>-IF(Input!$T19=1,P52,(P20+P52*0.5)*Input!$T19)</f>
        <v>-0.10594670952400201</v>
      </c>
      <c r="Q84" s="107">
        <f>-IF(Input!$T19=1,Q52,(Q20+Q52*0.5)*Input!$T19)</f>
        <v>-9.8000706309701854E-2</v>
      </c>
    </row>
    <row r="85" spans="1:61" hidden="1" outlineLevel="1">
      <c r="C85" s="282" t="str">
        <f t="shared" si="26"/>
        <v>Standard metering (Group 1)</v>
      </c>
      <c r="G85" s="107">
        <f>-IF(Input!$T20=1,G53,(G21+G53*0.5)*Input!$T20)</f>
        <v>-0.15261263538174288</v>
      </c>
      <c r="H85" s="107">
        <f>-IF(Input!$T20=1,H53,(H21+H53*0.5)*Input!$T20)</f>
        <v>-9.5382897113589299E-2</v>
      </c>
      <c r="I85" s="107">
        <f>-IF(Input!$T20=1,I53,(I21+I53*0.5)*Input!$T20)</f>
        <v>-5.9614310695993308E-2</v>
      </c>
      <c r="J85" s="107">
        <f>-IF(Input!$T20=1,J53,(J21+J53*0.5)*Input!$T20)</f>
        <v>-3.7258944184995819E-2</v>
      </c>
      <c r="K85" s="107">
        <f>-IF(Input!$T20=1,K53,(K21+K53*0.5)*Input!$T20)</f>
        <v>-2.328684011562239E-2</v>
      </c>
      <c r="L85" s="107">
        <f>-IF(Input!$T20=1,L53,(L21+L53*0.5)*Input!$T20)</f>
        <v>-1.4554275072263992E-2</v>
      </c>
      <c r="M85" s="107">
        <f>-IF(Input!$T20=1,M53,(M21+M53*0.5)*Input!$T20)</f>
        <v>-9.0964219201649966E-3</v>
      </c>
      <c r="N85" s="107">
        <f>-IF(Input!$T20=1,N53,(N21+N53*0.5)*Input!$T20)</f>
        <v>-5.6852637001031225E-3</v>
      </c>
      <c r="O85" s="107">
        <f>-IF(Input!$T20=1,O53,(O21+O53*0.5)*Input!$T20)</f>
        <v>-3.5532898125644509E-3</v>
      </c>
      <c r="P85" s="107">
        <f>-IF(Input!$T20=1,P53,(P21+P53*0.5)*Input!$T20)</f>
        <v>-2.2208061328527822E-3</v>
      </c>
      <c r="Q85" s="107">
        <f>-IF(Input!$T20=1,Q53,(Q21+Q53*0.5)*Input!$T20)</f>
        <v>-1.3880038330329886E-3</v>
      </c>
    </row>
    <row r="86" spans="1:61" hidden="1" outlineLevel="1">
      <c r="C86" s="282" t="str">
        <f t="shared" si="26"/>
        <v>Standard metering (Group 2)</v>
      </c>
      <c r="G86" s="107">
        <f>-IF(Input!$T21=1,G54,(G22+G54*0.5)*Input!$T21)</f>
        <v>0</v>
      </c>
      <c r="H86" s="107">
        <f>-IF(Input!$T21=1,H54,(H22+H54*0.5)*Input!$T21)</f>
        <v>0</v>
      </c>
      <c r="I86" s="107">
        <f>-IF(Input!$T21=1,I54,(I22+I54*0.5)*Input!$T21)</f>
        <v>0</v>
      </c>
      <c r="J86" s="107">
        <f>-IF(Input!$T21=1,J54,(J22+J54*0.5)*Input!$T21)</f>
        <v>0</v>
      </c>
      <c r="K86" s="107">
        <f>-IF(Input!$T21=1,K54,(K22+K54*0.5)*Input!$T21)</f>
        <v>0</v>
      </c>
      <c r="L86" s="107">
        <f>-IF(Input!$T21=1,L54,(L22+L54*0.5)*Input!$T21)</f>
        <v>0</v>
      </c>
      <c r="M86" s="107">
        <f>-IF(Input!$T21=1,M54,(M22+M54*0.5)*Input!$T21)</f>
        <v>0</v>
      </c>
      <c r="N86" s="107">
        <f>-IF(Input!$T21=1,N54,(N22+N54*0.5)*Input!$T21)</f>
        <v>0</v>
      </c>
      <c r="O86" s="107">
        <f>-IF(Input!$T21=1,O54,(O22+O54*0.5)*Input!$T21)</f>
        <v>0</v>
      </c>
      <c r="P86" s="107">
        <f>-IF(Input!$T21=1,P54,(P22+P54*0.5)*Input!$T21)</f>
        <v>0</v>
      </c>
      <c r="Q86" s="107">
        <f>-IF(Input!$T21=1,Q54,(Q22+Q54*0.5)*Input!$T21)</f>
        <v>0</v>
      </c>
    </row>
    <row r="87" spans="1:61" hidden="1" outlineLevel="1">
      <c r="C87" s="282" t="str">
        <f t="shared" si="26"/>
        <v>SCADA/Network control</v>
      </c>
      <c r="G87" s="107">
        <f>-IF(Input!$T22=1,G55,(G23+G55*0.5)*Input!$T22)</f>
        <v>-0.47179155907937143</v>
      </c>
      <c r="H87" s="107">
        <f>-IF(Input!$T22=1,H55,(H23+H55*0.5)*Input!$T22)</f>
        <v>-0.43640719214841855</v>
      </c>
      <c r="I87" s="107">
        <f>-IF(Input!$T22=1,I55,(I23+I55*0.5)*Input!$T22)</f>
        <v>-0.40367665273728714</v>
      </c>
      <c r="J87" s="107">
        <f>-IF(Input!$T22=1,J55,(J23+J55*0.5)*Input!$T22)</f>
        <v>-0.37340090378199059</v>
      </c>
      <c r="K87" s="107">
        <f>-IF(Input!$T22=1,K55,(K23+K55*0.5)*Input!$T22)</f>
        <v>-0.34539583599834128</v>
      </c>
      <c r="L87" s="107">
        <f>-IF(Input!$T22=1,L55,(L23+L55*0.5)*Input!$T22)</f>
        <v>-0.3194911482984657</v>
      </c>
      <c r="M87" s="107">
        <f>-IF(Input!$T22=1,M55,(M23+M55*0.5)*Input!$T22)</f>
        <v>-0.29552931217608075</v>
      </c>
      <c r="N87" s="107">
        <f>-IF(Input!$T22=1,N55,(N23+N55*0.5)*Input!$T22)</f>
        <v>-0.27336461376287469</v>
      </c>
      <c r="O87" s="107">
        <f>-IF(Input!$T22=1,O55,(O23+O55*0.5)*Input!$T22)</f>
        <v>-0.25286226773065912</v>
      </c>
      <c r="P87" s="107">
        <f>-IF(Input!$T22=1,P55,(P23+P55*0.5)*Input!$T22)</f>
        <v>-0.23389759765085966</v>
      </c>
      <c r="Q87" s="107">
        <f>-IF(Input!$T22=1,Q55,(Q23+Q55*0.5)*Input!$T22)</f>
        <v>-0.21635527782704519</v>
      </c>
    </row>
    <row r="88" spans="1:61" hidden="1" outlineLevel="1">
      <c r="C88" s="282" t="str">
        <f t="shared" si="26"/>
        <v>Non-network general assets - IT</v>
      </c>
      <c r="G88" s="107">
        <f>-IF(Input!$T23=1,G56,(G24+G56*0.5)*Input!$T23)</f>
        <v>-0.98162222706688762</v>
      </c>
      <c r="H88" s="107">
        <f>-IF(Input!$T23=1,H56,(H24+H56*0.5)*Input!$T23)</f>
        <v>-0.58897333624013248</v>
      </c>
      <c r="I88" s="107">
        <f>-IF(Input!$T23=1,I56,(I24+I56*0.5)*Input!$T23)</f>
        <v>-0.35338400174407947</v>
      </c>
      <c r="J88" s="107">
        <f>-IF(Input!$T23=1,J56,(J24+J56*0.5)*Input!$T23)</f>
        <v>-0.21203040104644769</v>
      </c>
      <c r="K88" s="107">
        <f>-IF(Input!$T23=1,K56,(K24+K56*0.5)*Input!$T23)</f>
        <v>-0.12721824062786863</v>
      </c>
      <c r="L88" s="107">
        <f>-IF(Input!$T23=1,L56,(L24+L56*0.5)*Input!$T23)</f>
        <v>-7.6330944376721166E-2</v>
      </c>
      <c r="M88" s="107">
        <f>-IF(Input!$T23=1,M56,(M24+M56*0.5)*Input!$T23)</f>
        <v>-4.5798566626032704E-2</v>
      </c>
      <c r="N88" s="107">
        <f>-IF(Input!$T23=1,N56,(N24+N56*0.5)*Input!$T23)</f>
        <v>-2.7479139975619616E-2</v>
      </c>
      <c r="O88" s="107">
        <f>-IF(Input!$T23=1,O56,(O24+O56*0.5)*Input!$T23)</f>
        <v>-1.6487483985371771E-2</v>
      </c>
      <c r="P88" s="107">
        <f>-IF(Input!$T23=1,P56,(P24+P56*0.5)*Input!$T23)</f>
        <v>-9.8924903912230629E-3</v>
      </c>
      <c r="Q88" s="107">
        <f>-IF(Input!$T23=1,Q56,(Q24+Q56*0.5)*Input!$T23)</f>
        <v>-5.9354942347338369E-3</v>
      </c>
    </row>
    <row r="89" spans="1:61" hidden="1" outlineLevel="1">
      <c r="C89" s="282" t="str">
        <f t="shared" si="26"/>
        <v>Non-network general assets - Other</v>
      </c>
      <c r="G89" s="107">
        <f>-IF(Input!$T24=1,G57,(G25+G57*0.5)*Input!$T24)</f>
        <v>-0.78098245281029111</v>
      </c>
      <c r="H89" s="107">
        <f>-IF(Input!$T24=1,H57,(H25+H57*0.5)*Input!$T24)</f>
        <v>-0.6431620199614162</v>
      </c>
      <c r="I89" s="107">
        <f>-IF(Input!$T24=1,I57,(I25+I57*0.5)*Input!$T24)</f>
        <v>-0.52966283996822505</v>
      </c>
      <c r="J89" s="107">
        <f>-IF(Input!$T24=1,J57,(J25+J57*0.5)*Input!$T24)</f>
        <v>-0.43619292703265589</v>
      </c>
      <c r="K89" s="107">
        <f>-IF(Input!$T24=1,K57,(K25+K57*0.5)*Input!$T24)</f>
        <v>-0.35921770461512836</v>
      </c>
      <c r="L89" s="107">
        <f>-IF(Input!$T24=1,L57,(L25+L57*0.5)*Input!$T24)</f>
        <v>-0.29582634497716453</v>
      </c>
      <c r="M89" s="107">
        <f>-IF(Input!$T24=1,M57,(M25+M57*0.5)*Input!$T24)</f>
        <v>-0.24362169586354729</v>
      </c>
      <c r="N89" s="107">
        <f>-IF(Input!$T24=1,N57,(N25+N57*0.5)*Input!$T24)</f>
        <v>-0.20062963188762717</v>
      </c>
      <c r="O89" s="107">
        <f>-IF(Input!$T24=1,O57,(O25+O57*0.5)*Input!$T24)</f>
        <v>-0.1652244027309871</v>
      </c>
      <c r="P89" s="107">
        <f>-IF(Input!$T24=1,P57,(P25+P57*0.5)*Input!$T24)</f>
        <v>-0.13606715519022464</v>
      </c>
      <c r="Q89" s="107">
        <f>-IF(Input!$T24=1,Q57,(Q25+Q57*0.5)*Input!$T24)</f>
        <v>-0.11205530427430266</v>
      </c>
    </row>
    <row r="90" spans="1:61" hidden="1" outlineLevel="1">
      <c r="C90" s="282"/>
      <c r="G90" s="107"/>
      <c r="H90" s="107"/>
      <c r="I90" s="107"/>
      <c r="J90" s="107"/>
      <c r="K90" s="107"/>
      <c r="L90" s="107"/>
      <c r="M90" s="107"/>
      <c r="N90" s="107"/>
      <c r="O90" s="107"/>
      <c r="P90" s="107"/>
      <c r="Q90" s="107"/>
    </row>
    <row r="91" spans="1:61" hidden="1" outlineLevel="1">
      <c r="C91" s="282" t="str">
        <f t="shared" si="26"/>
        <v>Group 3</v>
      </c>
      <c r="G91" s="107"/>
      <c r="H91" s="107"/>
      <c r="I91" s="107"/>
      <c r="J91" s="107"/>
      <c r="K91" s="107"/>
      <c r="L91" s="107"/>
      <c r="M91" s="107"/>
      <c r="N91" s="107"/>
      <c r="O91" s="107"/>
      <c r="P91" s="107"/>
      <c r="Q91" s="107"/>
    </row>
    <row r="92" spans="1:61" hidden="1" outlineLevel="1">
      <c r="C92" s="282" t="str">
        <f t="shared" si="26"/>
        <v>Demand related capital expenditure</v>
      </c>
      <c r="G92" s="107">
        <f>-IF(Input!$T27=1,G60,(G28+G60*0.5)*Input!$T27)</f>
        <v>-10.652477742052456</v>
      </c>
      <c r="H92" s="107">
        <f>-IF(Input!$T27=1,H60,(H28+H60*0.5)*Input!$T27)</f>
        <v>-14.116569496329529</v>
      </c>
      <c r="I92" s="107">
        <f>-IF(Input!$T27=1,I60,(I28+I60*0.5)*Input!$T27)</f>
        <v>-17.772563934983822</v>
      </c>
      <c r="J92" s="107">
        <f>-IF(Input!$T27=1,J60,(J28+J60*0.5)*Input!$T27)</f>
        <v>-20.996174543707298</v>
      </c>
      <c r="K92" s="107">
        <f>-IF(Input!$T27=1,K60,(K28+K60*0.5)*Input!$T27)</f>
        <v>-24.576299512721587</v>
      </c>
      <c r="L92" s="107">
        <f>-IF(Input!$T27=1,L60,(L28+L60*0.5)*Input!$T27)</f>
        <v>-28.631016975175925</v>
      </c>
      <c r="M92" s="107">
        <f>-IF(Input!$T27=1,M60,(M28+M60*0.5)*Input!$T27)</f>
        <v>-30.16991100961377</v>
      </c>
      <c r="N92" s="107">
        <f>-IF(Input!$T27=1,N60,(N28+N60*0.5)*Input!$T27)</f>
        <v>-28.963114569229219</v>
      </c>
      <c r="O92" s="107">
        <f>-IF(Input!$T27=1,O60,(O28+O60*0.5)*Input!$T27)</f>
        <v>-27.804589986460051</v>
      </c>
      <c r="P92" s="107">
        <f>-IF(Input!$T27=1,P60,(P28+P60*0.5)*Input!$T27)</f>
        <v>-26.692406387001647</v>
      </c>
      <c r="Q92" s="107">
        <f>-IF(Input!$T27=1,Q60,(Q28+Q60*0.5)*Input!$T27)</f>
        <v>-25.624710131521585</v>
      </c>
    </row>
    <row r="93" spans="1:61" hidden="1" outlineLevel="1">
      <c r="C93" s="282" t="str">
        <f t="shared" si="26"/>
        <v>Replacement expenditure (Group 1)</v>
      </c>
      <c r="G93" s="107">
        <f>-IF(Input!$T28=1,G61,(G29+G61*0.5)*Input!$T28)</f>
        <v>-18.45726054337106</v>
      </c>
      <c r="H93" s="107">
        <f>-IF(Input!$T28=1,H61,(H29+H61*0.5)*Input!$T28)</f>
        <v>-12.472931699968855</v>
      </c>
      <c r="I93" s="107">
        <f>-IF(Input!$T28=1,I61,(I29+I61*0.5)*Input!$T28)</f>
        <v>-10.169430726010216</v>
      </c>
      <c r="J93" s="107">
        <f>-IF(Input!$T28=1,J61,(J29+J61*0.5)*Input!$T28)</f>
        <v>-19.729100356968065</v>
      </c>
      <c r="K93" s="107">
        <f>-IF(Input!$T28=1,K61,(K29+K61*0.5)*Input!$T28)</f>
        <v>-16.541984586306391</v>
      </c>
      <c r="L93" s="107">
        <f>-IF(Input!$T28=1,L61,(L29+L61*0.5)*Input!$T28)</f>
        <v>-20.510146699661792</v>
      </c>
      <c r="M93" s="107">
        <f>-IF(Input!$T28=1,M61,(M29+M61*0.5)*Input!$T28)</f>
        <v>0</v>
      </c>
      <c r="N93" s="107">
        <f>-IF(Input!$T28=1,N61,(N29+N61*0.5)*Input!$T28)</f>
        <v>0</v>
      </c>
      <c r="O93" s="107">
        <f>-IF(Input!$T28=1,O61,(O29+O61*0.5)*Input!$T28)</f>
        <v>0</v>
      </c>
      <c r="P93" s="107">
        <f>-IF(Input!$T28=1,P61,(P29+P61*0.5)*Input!$T28)</f>
        <v>0</v>
      </c>
      <c r="Q93" s="107">
        <f>-IF(Input!$T28=1,Q61,(Q29+Q61*0.5)*Input!$T28)</f>
        <v>0</v>
      </c>
    </row>
    <row r="94" spans="1:61" hidden="1" outlineLevel="1">
      <c r="C94" s="282" t="str">
        <f t="shared" si="26"/>
        <v>Replacement expenditure (Group 2)</v>
      </c>
      <c r="G94" s="107">
        <f>-IF(Input!$T29=1,G62,(G30+G62*0.5)*Input!$T29)</f>
        <v>-0.5472376208074311</v>
      </c>
      <c r="H94" s="107">
        <f>-IF(Input!$T29=1,H62,(H30+H62*0.5)*Input!$T29)</f>
        <v>-0.7611800456161476</v>
      </c>
      <c r="I94" s="107">
        <f>-IF(Input!$T29=1,I62,(I30+I62*0.5)*Input!$T29)</f>
        <v>-0.90959349363309772</v>
      </c>
      <c r="J94" s="107">
        <f>-IF(Input!$T29=1,J62,(J30+J62*0.5)*Input!$T29)</f>
        <v>-1.1334795896495342</v>
      </c>
      <c r="K94" s="107">
        <f>-IF(Input!$T29=1,K62,(K30+K62*0.5)*Input!$T29)</f>
        <v>-1.3843144507158891</v>
      </c>
      <c r="L94" s="107">
        <f>-IF(Input!$T29=1,L62,(L30+L62*0.5)*Input!$T29)</f>
        <v>-1.5436669607496192</v>
      </c>
      <c r="M94" s="107">
        <f>-IF(Input!$T29=1,M62,(M30+M62*0.5)*Input!$T29)</f>
        <v>-1.5290840916469344</v>
      </c>
      <c r="N94" s="107">
        <f>-IF(Input!$T29=1,N62,(N30+N62*0.5)*Input!$T29)</f>
        <v>-1.3761756824822409</v>
      </c>
      <c r="O94" s="107">
        <f>-IF(Input!$T29=1,O62,(O30+O62*0.5)*Input!$T29)</f>
        <v>-1.2385581142340167</v>
      </c>
      <c r="P94" s="107">
        <f>-IF(Input!$T29=1,P62,(P30+P62*0.5)*Input!$T29)</f>
        <v>-1.1147023028106149</v>
      </c>
      <c r="Q94" s="107">
        <f>-IF(Input!$T29=1,Q62,(Q30+Q62*0.5)*Input!$T29)</f>
        <v>-1.0032320725295534</v>
      </c>
    </row>
    <row r="95" spans="1:61" hidden="1" outlineLevel="1">
      <c r="C95" s="282" t="str">
        <f t="shared" si="26"/>
        <v>Replacement expenditure (Group 3)</v>
      </c>
      <c r="G95" s="107">
        <f>-IF(Input!$T30=1,G63,(G31+G63*0.5)*Input!$T30)</f>
        <v>-1.9192249783065771</v>
      </c>
      <c r="H95" s="107">
        <f>-IF(Input!$T30=1,H63,(H31+H63*0.5)*Input!$T30)</f>
        <v>-2.3496378566714324</v>
      </c>
      <c r="I95" s="107">
        <f>-IF(Input!$T30=1,I63,(I31+I63*0.5)*Input!$T30)</f>
        <v>-2.5036433724099809</v>
      </c>
      <c r="J95" s="107">
        <f>-IF(Input!$T30=1,J63,(J31+J63*0.5)*Input!$T30)</f>
        <v>-2.6211433223988654</v>
      </c>
      <c r="K95" s="107">
        <f>-IF(Input!$T30=1,K63,(K31+K63*0.5)*Input!$T30)</f>
        <v>-2.7176176791184994</v>
      </c>
      <c r="L95" s="107">
        <f>-IF(Input!$T30=1,L63,(L31+L63*0.5)*Input!$T30)</f>
        <v>-2.9397947973827292</v>
      </c>
      <c r="M95" s="107">
        <f>-IF(Input!$T30=1,M63,(M31+M63*0.5)*Input!$T30)</f>
        <v>-3.0474372420346323</v>
      </c>
      <c r="N95" s="107">
        <f>-IF(Input!$T30=1,N63,(N31+N63*0.5)*Input!$T30)</f>
        <v>-2.9255397523532469</v>
      </c>
      <c r="O95" s="107">
        <f>-IF(Input!$T30=1,O63,(O31+O63*0.5)*Input!$T30)</f>
        <v>-2.8085181622591171</v>
      </c>
      <c r="P95" s="107">
        <f>-IF(Input!$T30=1,P63,(P31+P63*0.5)*Input!$T30)</f>
        <v>-2.6961774357687522</v>
      </c>
      <c r="Q95" s="107">
        <f>-IF(Input!$T30=1,Q63,(Q31+Q63*0.5)*Input!$T30)</f>
        <v>-2.5883303383380025</v>
      </c>
    </row>
    <row r="96" spans="1:61" hidden="1" outlineLevel="1">
      <c r="C96" s="282" t="str">
        <f t="shared" si="26"/>
        <v>Environment, safety &amp; legal</v>
      </c>
      <c r="G96" s="107">
        <f>-IF(Input!$T31=1,G64,(G32+G64*0.5)*Input!$T31)</f>
        <v>-0.42626172058673389</v>
      </c>
      <c r="H96" s="107">
        <f>-IF(Input!$T31=1,H64,(H32+H64*0.5)*Input!$T31)</f>
        <v>-0.84623479722729289</v>
      </c>
      <c r="I96" s="107">
        <f>-IF(Input!$T31=1,I64,(I32+I64*0.5)*Input!$T31)</f>
        <v>-1.5813853407055429</v>
      </c>
      <c r="J96" s="107">
        <f>-IF(Input!$T31=1,J64,(J32+J64*0.5)*Input!$T31)</f>
        <v>-2.5407749683566196</v>
      </c>
      <c r="K96" s="107">
        <f>-IF(Input!$T31=1,K64,(K32+K64*0.5)*Input!$T31)</f>
        <v>-3.5825932813568486</v>
      </c>
      <c r="L96" s="107">
        <f>-IF(Input!$T31=1,L64,(L32+L64*0.5)*Input!$T31)</f>
        <v>-4.46137470993592</v>
      </c>
      <c r="M96" s="107">
        <f>-IF(Input!$T31=1,M64,(M32+M64*0.5)*Input!$T31)</f>
        <v>-4.6470960757276965</v>
      </c>
      <c r="N96" s="107">
        <f>-IF(Input!$T31=1,N64,(N32+N64*0.5)*Input!$T31)</f>
        <v>-4.1823864681549265</v>
      </c>
      <c r="O96" s="107">
        <f>-IF(Input!$T31=1,O64,(O32+O64*0.5)*Input!$T31)</f>
        <v>-3.7641478213394346</v>
      </c>
      <c r="P96" s="107">
        <f>-IF(Input!$T31=1,P64,(P32+P64*0.5)*Input!$T31)</f>
        <v>-3.3877330392054912</v>
      </c>
      <c r="Q96" s="107">
        <f>-IF(Input!$T31=1,Q64,(Q32+Q64*0.5)*Input!$T31)</f>
        <v>-3.0489597352849418</v>
      </c>
    </row>
    <row r="97" spans="3:17" hidden="1" outlineLevel="1">
      <c r="C97" s="282" t="str">
        <f t="shared" si="26"/>
        <v>SCADA/Network control</v>
      </c>
      <c r="G97" s="107">
        <f>-IF(Input!$T32=1,G65,(G33+G65*0.5)*Input!$T32)</f>
        <v>-0.28345270949981272</v>
      </c>
      <c r="H97" s="107">
        <f>-IF(Input!$T32=1,H65,(H33+H65*0.5)*Input!$T32)</f>
        <v>-0.34000463140459097</v>
      </c>
      <c r="I97" s="107">
        <f>-IF(Input!$T32=1,I65,(I33+I65*0.5)*Input!$T32)</f>
        <v>-0.51934667528911949</v>
      </c>
      <c r="J97" s="107">
        <f>-IF(Input!$T32=1,J65,(J33+J65*0.5)*Input!$T32)</f>
        <v>-0.76852488339521341</v>
      </c>
      <c r="K97" s="107">
        <f>-IF(Input!$T32=1,K65,(K33+K65*0.5)*Input!$T32)</f>
        <v>-0.95632592755380497</v>
      </c>
      <c r="L97" s="107">
        <f>-IF(Input!$T32=1,L65,(L33+L65*0.5)*Input!$T32)</f>
        <v>-1.0995386363152124</v>
      </c>
      <c r="M97" s="107">
        <f>-IF(Input!$T32=1,M65,(M33+M65*0.5)*Input!$T32)</f>
        <v>-1.0966665118978896</v>
      </c>
      <c r="N97" s="107">
        <f>-IF(Input!$T32=1,N65,(N33+N65*0.5)*Input!$T32)</f>
        <v>-0.98699986070810053</v>
      </c>
      <c r="O97" s="107">
        <f>-IF(Input!$T32=1,O65,(O33+O65*0.5)*Input!$T32)</f>
        <v>-0.88829987463729043</v>
      </c>
      <c r="P97" s="107">
        <f>-IF(Input!$T32=1,P65,(P33+P65*0.5)*Input!$T32)</f>
        <v>-0.79946988717356138</v>
      </c>
      <c r="Q97" s="107">
        <f>-IF(Input!$T32=1,Q65,(Q33+Q65*0.5)*Input!$T32)</f>
        <v>-0.71952289845620521</v>
      </c>
    </row>
    <row r="98" spans="3:17" hidden="1" outlineLevel="1">
      <c r="C98" s="282" t="str">
        <f t="shared" si="26"/>
        <v>Non-network general assets - IT</v>
      </c>
      <c r="G98" s="107">
        <f>-IF(Input!$T33=1,G66,(G34+G66*0.5)*Input!$T33)</f>
        <v>-2.9799573931289767</v>
      </c>
      <c r="H98" s="107">
        <f>-IF(Input!$T33=1,H66,(H34+H66*0.5)*Input!$T33)</f>
        <v>-3.4113700150761432</v>
      </c>
      <c r="I98" s="107">
        <f>-IF(Input!$T33=1,I66,(I34+I66*0.5)*Input!$T33)</f>
        <v>-3.9294987996759541</v>
      </c>
      <c r="J98" s="107">
        <f>-IF(Input!$T33=1,J66,(J34+J66*0.5)*Input!$T33)</f>
        <v>-4.5525487303531573</v>
      </c>
      <c r="K98" s="107">
        <f>-IF(Input!$T33=1,K66,(K34+K66*0.5)*Input!$T33)</f>
        <v>-5.4936573318099846</v>
      </c>
      <c r="L98" s="107">
        <f>-IF(Input!$T33=1,L66,(L34+L66*0.5)*Input!$T33)</f>
        <v>-8.1379011347827319</v>
      </c>
      <c r="M98" s="107">
        <f>-IF(Input!$T33=1,M66,(M34+M66*0.5)*Input!$T33)</f>
        <v>-7.9828680808696397</v>
      </c>
      <c r="N98" s="107">
        <f>-IF(Input!$T33=1,N66,(N34+N66*0.5)*Input!$T33)</f>
        <v>-4.7897208485217835</v>
      </c>
      <c r="O98" s="107">
        <f>-IF(Input!$T33=1,O66,(O34+O66*0.5)*Input!$T33)</f>
        <v>-2.8738325091130701</v>
      </c>
      <c r="P98" s="107">
        <f>-IF(Input!$T33=1,P66,(P34+P66*0.5)*Input!$T33)</f>
        <v>-1.7242995054678418</v>
      </c>
      <c r="Q98" s="107">
        <f>-IF(Input!$T33=1,Q66,(Q34+Q66*0.5)*Input!$T33)</f>
        <v>-1.0345797032807049</v>
      </c>
    </row>
    <row r="99" spans="3:17" hidden="1" outlineLevel="1">
      <c r="C99" s="282" t="str">
        <f t="shared" si="26"/>
        <v>Non-network general assets - Other</v>
      </c>
      <c r="G99" s="107">
        <f>-IF(Input!$T34=1,G67,(G35+G67*0.5)*Input!$T34)</f>
        <v>-1.0920652345560822</v>
      </c>
      <c r="H99" s="107">
        <f>-IF(Input!$T34=1,H67,(H35+H67*0.5)*Input!$T34)</f>
        <v>-1.1754400995098104</v>
      </c>
      <c r="I99" s="107">
        <f>-IF(Input!$T34=1,I67,(I35+I67*0.5)*Input!$T34)</f>
        <v>-1.1932168787734236</v>
      </c>
      <c r="J99" s="107">
        <f>-IF(Input!$T34=1,J67,(J35+J67*0.5)*Input!$T34)</f>
        <v>-1.2600375955228591</v>
      </c>
      <c r="K99" s="107">
        <f>-IF(Input!$T34=1,K67,(K35+K67*0.5)*Input!$T34)</f>
        <v>-1.7132993467871536</v>
      </c>
      <c r="L99" s="107">
        <f>-IF(Input!$T34=1,L67,(L35+L67*0.5)*Input!$T34)</f>
        <v>-2.101799041361629</v>
      </c>
      <c r="M99" s="107">
        <f>-IF(Input!$T34=1,M67,(M35+M67*0.5)*Input!$T34)</f>
        <v>-1.9693290275052291</v>
      </c>
      <c r="N99" s="107">
        <f>-IF(Input!$T34=1,N67,(N35+N67*0.5)*Input!$T34)</f>
        <v>-1.6218003755925419</v>
      </c>
      <c r="O99" s="107">
        <f>-IF(Input!$T34=1,O67,(O35+O67*0.5)*Input!$T34)</f>
        <v>-1.335600309311505</v>
      </c>
      <c r="P99" s="107">
        <f>-IF(Input!$T34=1,P67,(P35+P67*0.5)*Input!$T34)</f>
        <v>-1.0999061370800629</v>
      </c>
      <c r="Q99" s="107">
        <f>-IF(Input!$T34=1,Q67,(Q35+Q67*0.5)*Input!$T34)</f>
        <v>-0.90580505406593426</v>
      </c>
    </row>
    <row r="100" spans="3:17" hidden="1" outlineLevel="1">
      <c r="C100" s="282"/>
      <c r="G100" s="107"/>
      <c r="H100" s="107"/>
      <c r="I100" s="107"/>
      <c r="J100" s="107"/>
      <c r="K100" s="107"/>
      <c r="L100" s="107"/>
      <c r="M100" s="107"/>
      <c r="N100" s="107"/>
      <c r="O100" s="107"/>
      <c r="P100" s="107"/>
      <c r="Q100" s="107"/>
    </row>
    <row r="101" spans="3:17" hidden="1" outlineLevel="1">
      <c r="C101" s="282" t="str">
        <f t="shared" si="26"/>
        <v>Equity Raising Costs</v>
      </c>
      <c r="G101" s="107">
        <f>-G37</f>
        <v>0</v>
      </c>
      <c r="H101" s="107">
        <f>-$H$69*Input!$T$36</f>
        <v>-0.55903829999499466</v>
      </c>
      <c r="I101" s="107">
        <f>-$H$69*Input!$T$36</f>
        <v>-0.55903829999499466</v>
      </c>
      <c r="J101" s="107">
        <f>-$H$69*Input!$T$36</f>
        <v>-0.55903829999499466</v>
      </c>
      <c r="K101" s="107">
        <f>-$H$69*Input!$T$36</f>
        <v>-0.55903829999499466</v>
      </c>
      <c r="L101" s="107">
        <f>-$H$69*Input!$T$36</f>
        <v>-0.55903829999499466</v>
      </c>
      <c r="M101" s="283"/>
      <c r="N101" s="283"/>
      <c r="O101" s="283"/>
      <c r="P101" s="283"/>
      <c r="Q101" s="283"/>
    </row>
    <row r="102" spans="3:17" collapsed="1"/>
    <row r="103" spans="3:17">
      <c r="C103" s="282"/>
    </row>
    <row r="104" spans="3:17">
      <c r="C104" s="282"/>
    </row>
  </sheetData>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81"/>
  <sheetViews>
    <sheetView showGridLines="0" workbookViewId="0"/>
  </sheetViews>
  <sheetFormatPr defaultRowHeight="12.75"/>
  <cols>
    <col min="1" max="2" width="5.140625" style="334" customWidth="1"/>
    <col min="3" max="3" width="50.85546875" style="334" customWidth="1"/>
    <col min="4" max="4" width="10.42578125" style="334" customWidth="1"/>
    <col min="5" max="5" width="11.42578125" style="334" customWidth="1"/>
    <col min="6" max="11" width="10.42578125" style="334" customWidth="1"/>
    <col min="12" max="12" width="9.85546875" style="334" customWidth="1"/>
    <col min="13" max="16384" width="9.140625" style="334"/>
  </cols>
  <sheetData>
    <row r="1" spans="1:21" ht="21">
      <c r="A1" s="332" t="s">
        <v>172</v>
      </c>
      <c r="B1" s="333"/>
      <c r="C1" s="333"/>
      <c r="D1" s="333"/>
      <c r="E1" s="333"/>
      <c r="F1" s="333"/>
      <c r="G1" s="333"/>
      <c r="H1" s="333"/>
      <c r="I1" s="333"/>
      <c r="J1" s="333"/>
      <c r="K1" s="333"/>
      <c r="L1" s="333"/>
    </row>
    <row r="2" spans="1:21">
      <c r="A2" s="333"/>
      <c r="B2" s="333"/>
      <c r="C2" s="333"/>
      <c r="D2" s="333"/>
      <c r="E2" s="333"/>
      <c r="F2" s="333"/>
      <c r="G2" s="333"/>
      <c r="H2" s="333"/>
      <c r="I2" s="333"/>
      <c r="J2" s="333"/>
      <c r="K2" s="333"/>
      <c r="L2" s="333"/>
    </row>
    <row r="4" spans="1:21" s="368" customFormat="1" ht="18.75">
      <c r="A4" s="366" t="s">
        <v>175</v>
      </c>
      <c r="B4" s="367"/>
      <c r="C4" s="367"/>
      <c r="D4" s="367"/>
      <c r="E4" s="367"/>
      <c r="F4" s="367"/>
      <c r="G4" s="367"/>
      <c r="H4" s="367"/>
      <c r="I4" s="367"/>
      <c r="J4" s="367"/>
      <c r="K4" s="367"/>
      <c r="L4" s="367"/>
      <c r="M4" s="367"/>
      <c r="N4" s="367"/>
      <c r="O4" s="367"/>
      <c r="P4" s="367"/>
      <c r="Q4" s="367"/>
      <c r="R4" s="367"/>
      <c r="S4" s="367"/>
      <c r="T4" s="367"/>
      <c r="U4" s="367"/>
    </row>
    <row r="6" spans="1:21" ht="36">
      <c r="C6" s="369" t="s">
        <v>87</v>
      </c>
      <c r="D6" s="370"/>
      <c r="E6" s="370"/>
      <c r="F6" s="371" t="s">
        <v>176</v>
      </c>
      <c r="G6" s="371" t="s">
        <v>177</v>
      </c>
      <c r="H6" s="372" t="s">
        <v>178</v>
      </c>
    </row>
    <row r="7" spans="1:21">
      <c r="C7" s="545" t="str">
        <f>[0]!Asset1</f>
        <v>Subtransmission</v>
      </c>
      <c r="D7" s="546"/>
      <c r="E7" s="546"/>
      <c r="F7" s="373">
        <f>IF(ISERROR(VLOOKUP($C7,$C$25:$E$31,3,0)),0,VLOOKUP($C7,$C$25:$E$31,3,0))</f>
        <v>276.69405293101858</v>
      </c>
      <c r="G7" s="374">
        <f t="shared" ref="G7:G14" ca="1" si="0">IF(ISERROR(VLOOKUP($C7,$C$75:$G$81,5,0)),"n/a",VLOOKUP($C7,$C$75:$G$81,5,0))</f>
        <v>32.171268079084001</v>
      </c>
      <c r="H7" s="375">
        <f>IF(ISERROR(VLOOKUP($C7,$C$75:$G$81,4,0)),"n/a",VLOOKUP($C7,$C$75:$G$81,4,0))</f>
        <v>43</v>
      </c>
    </row>
    <row r="8" spans="1:21">
      <c r="C8" s="545" t="str">
        <f>[0]!Asset2</f>
        <v>Distribution system assets</v>
      </c>
      <c r="D8" s="546"/>
      <c r="E8" s="546"/>
      <c r="F8" s="373">
        <f t="shared" ref="F8:F14" si="1">IF(ISERROR(VLOOKUP($C8,$C$25:$E$31,3,0)),0,VLOOKUP($C8,$C$25:$E$31,3,0))</f>
        <v>886.91253816512153</v>
      </c>
      <c r="G8" s="374">
        <f t="shared" ca="1" si="0"/>
        <v>26.293343287129826</v>
      </c>
      <c r="H8" s="375">
        <f t="shared" ref="H8:H14" si="2">IF(ISERROR(VLOOKUP($C8,$C$75:$G$81,4,0)),"n/a",VLOOKUP($C8,$C$75:$G$81,4,0))</f>
        <v>49</v>
      </c>
    </row>
    <row r="9" spans="1:21">
      <c r="C9" s="545" t="str">
        <f>[0]!Asset3</f>
        <v>Standard metering</v>
      </c>
      <c r="D9" s="546"/>
      <c r="E9" s="546"/>
      <c r="F9" s="373">
        <f t="shared" si="1"/>
        <v>2.4257125120439989E-2</v>
      </c>
      <c r="G9" s="374" t="str">
        <f t="shared" ca="1" si="0"/>
        <v>n/a</v>
      </c>
      <c r="H9" s="375" t="str">
        <f t="shared" si="2"/>
        <v>n/a</v>
      </c>
    </row>
    <row r="10" spans="1:21">
      <c r="C10" s="545" t="str">
        <f>[0]!Asset4</f>
        <v>Public lighting</v>
      </c>
      <c r="D10" s="546"/>
      <c r="E10" s="546"/>
      <c r="F10" s="373">
        <f t="shared" si="1"/>
        <v>0</v>
      </c>
      <c r="G10" s="374" t="str">
        <f t="shared" si="0"/>
        <v>n/a</v>
      </c>
      <c r="H10" s="375" t="str">
        <f t="shared" si="2"/>
        <v>n/a</v>
      </c>
    </row>
    <row r="11" spans="1:21">
      <c r="C11" s="545" t="str">
        <f>[0]!Asset5</f>
        <v>SCADA/Network control</v>
      </c>
      <c r="D11" s="546"/>
      <c r="E11" s="546"/>
      <c r="F11" s="373">
        <f t="shared" si="1"/>
        <v>14.907055947993305</v>
      </c>
      <c r="G11" s="374">
        <f t="shared" ca="1" si="0"/>
        <v>6.2706127499392368</v>
      </c>
      <c r="H11" s="375">
        <f t="shared" si="2"/>
        <v>10</v>
      </c>
    </row>
    <row r="12" spans="1:21">
      <c r="C12" s="545" t="str">
        <f>[0]!Asset6</f>
        <v>Non-network general assets - IT</v>
      </c>
      <c r="D12" s="546"/>
      <c r="E12" s="546"/>
      <c r="F12" s="373">
        <f t="shared" si="1"/>
        <v>20.071666618739179</v>
      </c>
      <c r="G12" s="374">
        <f t="shared" ca="1" si="0"/>
        <v>3.3704572837153886</v>
      </c>
      <c r="H12" s="375">
        <f t="shared" si="2"/>
        <v>4</v>
      </c>
    </row>
    <row r="13" spans="1:21">
      <c r="C13" s="545" t="str">
        <f>[0]!Asset7</f>
        <v>Non-network general assets - Other</v>
      </c>
      <c r="D13" s="546"/>
      <c r="E13" s="546"/>
      <c r="F13" s="373">
        <f t="shared" si="1"/>
        <v>12.540054099089735</v>
      </c>
      <c r="G13" s="374">
        <f t="shared" ca="1" si="0"/>
        <v>8.5625251039177588</v>
      </c>
      <c r="H13" s="375">
        <f t="shared" si="2"/>
        <v>12</v>
      </c>
    </row>
    <row r="14" spans="1:21">
      <c r="C14" s="547" t="str">
        <f>[0]!Asset8</f>
        <v>VBRC</v>
      </c>
      <c r="D14" s="548"/>
      <c r="E14" s="548"/>
      <c r="F14" s="373">
        <f t="shared" si="1"/>
        <v>0</v>
      </c>
      <c r="G14" s="374">
        <f t="shared" ca="1" si="0"/>
        <v>0</v>
      </c>
      <c r="H14" s="375">
        <f t="shared" si="2"/>
        <v>45</v>
      </c>
    </row>
    <row r="15" spans="1:21">
      <c r="C15" s="450" t="s">
        <v>120</v>
      </c>
      <c r="D15" s="455"/>
      <c r="E15" s="455"/>
      <c r="F15" s="456">
        <f>IF(ISERROR(VLOOKUP($C15,$C$25:$E$32,3,0)),0,VLOOKUP($C15,$C$25:$E$32,3,0))</f>
        <v>34.523225351264784</v>
      </c>
      <c r="G15" s="457" t="s">
        <v>118</v>
      </c>
      <c r="H15" s="458" t="s">
        <v>118</v>
      </c>
    </row>
    <row r="16" spans="1:21">
      <c r="C16" s="549" t="str">
        <f>[0]!Asset9</f>
        <v>Equity raising</v>
      </c>
      <c r="D16" s="550"/>
      <c r="E16" s="550"/>
      <c r="F16" s="459">
        <v>0</v>
      </c>
      <c r="G16" s="460" t="s">
        <v>118</v>
      </c>
      <c r="H16" s="376">
        <v>5</v>
      </c>
    </row>
    <row r="17" spans="1:21">
      <c r="C17" s="412" t="s">
        <v>170</v>
      </c>
      <c r="D17" s="377"/>
      <c r="E17" s="377"/>
      <c r="F17" s="413">
        <f>SUM(F7:F16)-E33</f>
        <v>0</v>
      </c>
      <c r="G17" s="414">
        <f ca="1">SUM(G7:G14)-SUM(G75:G81)</f>
        <v>0</v>
      </c>
      <c r="H17" s="414">
        <f>SUM(H7:H14)-SUM(F75:F81)</f>
        <v>0</v>
      </c>
    </row>
    <row r="19" spans="1:21" s="368" customFormat="1" ht="18.75">
      <c r="A19" s="366" t="s">
        <v>179</v>
      </c>
      <c r="B19" s="367"/>
      <c r="C19" s="367"/>
      <c r="D19" s="367"/>
      <c r="E19" s="367"/>
      <c r="F19" s="367"/>
      <c r="G19" s="367"/>
      <c r="H19" s="367"/>
      <c r="I19" s="367"/>
      <c r="J19" s="367"/>
      <c r="K19" s="367"/>
      <c r="L19" s="367"/>
      <c r="M19" s="367"/>
      <c r="N19" s="367"/>
      <c r="O19" s="367"/>
      <c r="P19" s="367"/>
      <c r="Q19" s="367"/>
      <c r="R19" s="367"/>
      <c r="S19" s="367"/>
      <c r="T19" s="367"/>
      <c r="U19" s="367"/>
    </row>
    <row r="21" spans="1:21">
      <c r="C21" s="378" t="s">
        <v>180</v>
      </c>
      <c r="D21" s="379"/>
      <c r="E21" s="378">
        <v>2016</v>
      </c>
    </row>
    <row r="22" spans="1:21">
      <c r="C22" s="380" t="s">
        <v>181</v>
      </c>
      <c r="D22" s="370"/>
      <c r="E22" s="381">
        <f>SUMIF('Tax value roll forward'!$F$9:$F$37,"Network",'Tax value roll forward'!M$9:M$37)</f>
        <v>1163.6065910961402</v>
      </c>
    </row>
    <row r="23" spans="1:21">
      <c r="E23" s="382"/>
    </row>
    <row r="24" spans="1:21">
      <c r="C24" s="383" t="s">
        <v>182</v>
      </c>
      <c r="D24" s="384" t="s">
        <v>183</v>
      </c>
      <c r="E24" s="385" t="s">
        <v>184</v>
      </c>
    </row>
    <row r="25" spans="1:21">
      <c r="C25" s="386" t="s">
        <v>138</v>
      </c>
      <c r="D25" s="387">
        <f>'Total actual RAB roll forward'!L359/SUM('Total actual RAB roll forward'!$L$359:$L$360,'Total actual RAB roll forward'!$L$366)</f>
        <v>0.23779003578036401</v>
      </c>
      <c r="E25" s="388">
        <f>D25*$E$22</f>
        <v>276.69405293101858</v>
      </c>
    </row>
    <row r="26" spans="1:21">
      <c r="C26" s="389" t="s">
        <v>185</v>
      </c>
      <c r="D26" s="390">
        <f>'Total actual RAB roll forward'!L360/SUM('Total actual RAB roll forward'!$L$359:$L$360,'Total actual RAB roll forward'!$L$366)</f>
        <v>0.76220996421963594</v>
      </c>
      <c r="E26" s="388">
        <f>D26*$E$22</f>
        <v>886.91253816512153</v>
      </c>
    </row>
    <row r="27" spans="1:21">
      <c r="C27" s="389" t="s">
        <v>143</v>
      </c>
      <c r="D27" s="390">
        <f>'Total actual RAB roll forward'!L366/SUM('Total actual RAB roll forward'!$L$359:$L$360,'Total actual RAB roll forward'!$L$366)</f>
        <v>0</v>
      </c>
      <c r="E27" s="388">
        <f>D27*$E$22</f>
        <v>0</v>
      </c>
    </row>
    <row r="28" spans="1:21">
      <c r="C28" s="389" t="s">
        <v>186</v>
      </c>
      <c r="D28" s="391"/>
      <c r="E28" s="388">
        <f>SUMIF('Tax value roll forward'!$F$9:$F$37,$C28,'Tax value roll forward'!M$9:M$37)</f>
        <v>2.4257125120439989E-2</v>
      </c>
    </row>
    <row r="29" spans="1:21">
      <c r="C29" s="389" t="s">
        <v>133</v>
      </c>
      <c r="D29" s="391"/>
      <c r="E29" s="388">
        <f>SUMIF('Tax value roll forward'!$F$9:$F$37,$C29,'Tax value roll forward'!M$9:M$37)</f>
        <v>14.907055947993305</v>
      </c>
    </row>
    <row r="30" spans="1:21">
      <c r="C30" s="389" t="s">
        <v>134</v>
      </c>
      <c r="D30" s="391"/>
      <c r="E30" s="388">
        <f>SUMIF('Tax value roll forward'!$F$9:$F$37,$C30,'Tax value roll forward'!M$9:M$37)</f>
        <v>20.071666618739179</v>
      </c>
    </row>
    <row r="31" spans="1:21">
      <c r="C31" s="389" t="s">
        <v>135</v>
      </c>
      <c r="D31" s="391"/>
      <c r="E31" s="388">
        <f>SUMIF('Tax value roll forward'!$F$9:$F$37,$C31,'Tax value roll forward'!M$9:M$37)</f>
        <v>12.540054099089735</v>
      </c>
    </row>
    <row r="32" spans="1:21">
      <c r="C32" s="452" t="s">
        <v>120</v>
      </c>
      <c r="D32" s="453"/>
      <c r="E32" s="454">
        <f>SUMIF('Tax value roll forward'!$F$9:$F$37,$C32,'Tax value roll forward'!M$9:M$37)</f>
        <v>34.523225351264784</v>
      </c>
    </row>
    <row r="33" spans="1:21">
      <c r="C33" s="392" t="s">
        <v>187</v>
      </c>
      <c r="D33" s="370"/>
      <c r="E33" s="393">
        <f>SUM(E25:E32)</f>
        <v>1245.6728502383473</v>
      </c>
    </row>
    <row r="34" spans="1:21">
      <c r="C34" s="394" t="s">
        <v>170</v>
      </c>
      <c r="E34" s="395">
        <f>E33-'Tax value roll forward'!M7</f>
        <v>0</v>
      </c>
    </row>
    <row r="35" spans="1:21">
      <c r="C35" s="394"/>
      <c r="E35" s="395"/>
    </row>
    <row r="36" spans="1:21" s="368" customFormat="1" ht="18.75">
      <c r="A36" s="366" t="s">
        <v>188</v>
      </c>
      <c r="B36" s="367"/>
      <c r="C36" s="367"/>
      <c r="D36" s="367"/>
      <c r="E36" s="367"/>
      <c r="F36" s="367"/>
      <c r="G36" s="367"/>
      <c r="H36" s="367"/>
      <c r="I36" s="367"/>
      <c r="J36" s="367"/>
      <c r="K36" s="367"/>
      <c r="L36" s="367"/>
      <c r="M36" s="367"/>
      <c r="N36" s="367"/>
      <c r="O36" s="367"/>
      <c r="P36" s="367"/>
      <c r="Q36" s="367"/>
      <c r="R36" s="367"/>
      <c r="S36" s="367"/>
      <c r="T36" s="367"/>
      <c r="U36" s="367"/>
    </row>
    <row r="38" spans="1:21">
      <c r="C38" s="335" t="s">
        <v>201</v>
      </c>
      <c r="D38" s="336" t="s">
        <v>149</v>
      </c>
      <c r="E38" s="337" t="s">
        <v>150</v>
      </c>
    </row>
    <row r="39" spans="1:21" s="338" customFormat="1">
      <c r="C39" s="339" t="s">
        <v>151</v>
      </c>
      <c r="D39" s="340">
        <v>164</v>
      </c>
      <c r="E39" s="341">
        <v>10</v>
      </c>
    </row>
    <row r="40" spans="1:21" s="338" customFormat="1" ht="38.25">
      <c r="C40" s="342" t="s">
        <v>152</v>
      </c>
      <c r="D40" s="343">
        <v>164</v>
      </c>
      <c r="E40" s="344">
        <v>45</v>
      </c>
    </row>
    <row r="41" spans="1:21" s="338" customFormat="1">
      <c r="C41" s="345" t="s">
        <v>153</v>
      </c>
      <c r="D41" s="340">
        <v>164</v>
      </c>
      <c r="E41" s="341">
        <v>47.5</v>
      </c>
    </row>
    <row r="42" spans="1:21" s="338" customFormat="1" ht="25.5">
      <c r="C42" s="342" t="s">
        <v>154</v>
      </c>
      <c r="D42" s="343">
        <v>164</v>
      </c>
      <c r="E42" s="344">
        <v>50</v>
      </c>
    </row>
    <row r="43" spans="1:21" s="338" customFormat="1" ht="25.5">
      <c r="C43" s="345" t="s">
        <v>155</v>
      </c>
      <c r="D43" s="340">
        <v>164</v>
      </c>
      <c r="E43" s="341">
        <v>40</v>
      </c>
    </row>
    <row r="44" spans="1:21" s="338" customFormat="1" ht="25.5">
      <c r="C44" s="342" t="s">
        <v>156</v>
      </c>
      <c r="D44" s="343">
        <v>164</v>
      </c>
      <c r="E44" s="344">
        <v>40</v>
      </c>
    </row>
    <row r="45" spans="1:21" s="338" customFormat="1" ht="25.5">
      <c r="C45" s="345" t="s">
        <v>157</v>
      </c>
      <c r="D45" s="340">
        <v>168</v>
      </c>
      <c r="E45" s="341">
        <v>47.5</v>
      </c>
    </row>
    <row r="46" spans="1:21" s="338" customFormat="1">
      <c r="C46" s="342" t="s">
        <v>158</v>
      </c>
      <c r="D46" s="343">
        <v>237</v>
      </c>
      <c r="E46" s="344">
        <v>4</v>
      </c>
    </row>
    <row r="47" spans="1:21" s="338" customFormat="1" ht="25.5">
      <c r="C47" s="342" t="s">
        <v>159</v>
      </c>
      <c r="D47" s="343">
        <v>240</v>
      </c>
      <c r="E47" s="344">
        <v>8</v>
      </c>
    </row>
    <row r="48" spans="1:21" s="338" customFormat="1" ht="38.25">
      <c r="C48" s="342" t="s">
        <v>160</v>
      </c>
      <c r="D48" s="343">
        <v>240</v>
      </c>
      <c r="E48" s="344">
        <v>12</v>
      </c>
    </row>
    <row r="49" spans="3:13" s="338" customFormat="1" ht="25.5">
      <c r="C49" s="346" t="s">
        <v>161</v>
      </c>
      <c r="D49" s="347">
        <v>241</v>
      </c>
      <c r="E49" s="348">
        <v>15</v>
      </c>
    </row>
    <row r="51" spans="3:13">
      <c r="F51" s="349" t="s">
        <v>173</v>
      </c>
    </row>
    <row r="52" spans="3:13">
      <c r="C52" s="335" t="s">
        <v>162</v>
      </c>
      <c r="D52" s="335"/>
      <c r="E52" s="335"/>
      <c r="F52" s="335" t="s">
        <v>174</v>
      </c>
      <c r="G52" s="335"/>
      <c r="H52" s="335"/>
      <c r="I52" s="335"/>
      <c r="J52" s="335"/>
      <c r="K52" s="335"/>
      <c r="L52" s="335"/>
      <c r="M52" s="350" t="s">
        <v>163</v>
      </c>
    </row>
    <row r="53" spans="3:13">
      <c r="C53" s="351"/>
      <c r="D53" s="336">
        <v>2006</v>
      </c>
      <c r="E53" s="336">
        <f>D53+1</f>
        <v>2007</v>
      </c>
      <c r="F53" s="336">
        <f t="shared" ref="F53:L53" si="3">E53+1</f>
        <v>2008</v>
      </c>
      <c r="G53" s="336">
        <f t="shared" si="3"/>
        <v>2009</v>
      </c>
      <c r="H53" s="336">
        <f t="shared" si="3"/>
        <v>2010</v>
      </c>
      <c r="I53" s="336">
        <f t="shared" si="3"/>
        <v>2011</v>
      </c>
      <c r="J53" s="336">
        <f t="shared" si="3"/>
        <v>2012</v>
      </c>
      <c r="K53" s="336">
        <f t="shared" si="3"/>
        <v>2013</v>
      </c>
      <c r="L53" s="336">
        <f t="shared" si="3"/>
        <v>2014</v>
      </c>
      <c r="M53" s="352"/>
    </row>
    <row r="54" spans="3:13" ht="25.5">
      <c r="C54" s="353" t="s">
        <v>164</v>
      </c>
      <c r="D54" s="354">
        <v>10864.246630397349</v>
      </c>
      <c r="E54" s="354">
        <v>8985.8814372694869</v>
      </c>
      <c r="F54" s="354">
        <v>9568.6362966014149</v>
      </c>
      <c r="G54" s="354">
        <v>11336.157276513957</v>
      </c>
      <c r="H54" s="354">
        <v>14557.738915061969</v>
      </c>
      <c r="I54" s="354">
        <v>15907.505782756887</v>
      </c>
      <c r="J54" s="354">
        <v>12572.565240938255</v>
      </c>
      <c r="K54" s="354">
        <v>14906.395262170403</v>
      </c>
      <c r="L54" s="354">
        <v>15542.632520000301</v>
      </c>
      <c r="M54" s="355">
        <f t="shared" ref="M54:M59" si="4">SUM(D54:K54)</f>
        <v>98699.126841709731</v>
      </c>
    </row>
    <row r="55" spans="3:13" ht="25.5">
      <c r="C55" s="356" t="s">
        <v>165</v>
      </c>
      <c r="D55" s="354">
        <v>54918.941282846201</v>
      </c>
      <c r="E55" s="354">
        <v>45423.775050104094</v>
      </c>
      <c r="F55" s="354">
        <v>48369.610227703779</v>
      </c>
      <c r="G55" s="354">
        <v>57304.457181603</v>
      </c>
      <c r="H55" s="354">
        <v>73589.604128680628</v>
      </c>
      <c r="I55" s="354">
        <v>80412.697332866956</v>
      </c>
      <c r="J55" s="354">
        <v>63554.519308310999</v>
      </c>
      <c r="K55" s="354">
        <v>75352.067565507008</v>
      </c>
      <c r="L55" s="354">
        <v>78568.25712686652</v>
      </c>
      <c r="M55" s="355">
        <f t="shared" si="4"/>
        <v>498925.67207762267</v>
      </c>
    </row>
    <row r="56" spans="3:13">
      <c r="C56" s="356" t="s">
        <v>166</v>
      </c>
      <c r="D56" s="354">
        <v>1957.8028763657071</v>
      </c>
      <c r="E56" s="354">
        <v>1619.310120901037</v>
      </c>
      <c r="F56" s="354">
        <v>1724.3260671171265</v>
      </c>
      <c r="G56" s="354">
        <v>2042.8440257234238</v>
      </c>
      <c r="H56" s="354">
        <v>2623.3924993515093</v>
      </c>
      <c r="I56" s="354">
        <v>2866.6286431815379</v>
      </c>
      <c r="J56" s="354">
        <v>2265.6522103552584</v>
      </c>
      <c r="K56" s="354">
        <v>2686.2224794186204</v>
      </c>
      <c r="L56" s="354">
        <v>2800.8762769442801</v>
      </c>
      <c r="M56" s="355">
        <f t="shared" si="4"/>
        <v>17786.178922414219</v>
      </c>
    </row>
    <row r="57" spans="3:13" ht="25.5">
      <c r="C57" s="356" t="s">
        <v>167</v>
      </c>
      <c r="D57" s="354">
        <v>881.09792025032823</v>
      </c>
      <c r="E57" s="354">
        <v>728.76120317830089</v>
      </c>
      <c r="F57" s="354">
        <v>776.02302556150232</v>
      </c>
      <c r="G57" s="354">
        <v>919.37020023281252</v>
      </c>
      <c r="H57" s="354">
        <v>1180.6427005918624</v>
      </c>
      <c r="I57" s="354">
        <v>1290.1097276585422</v>
      </c>
      <c r="J57" s="354">
        <v>1019.6437417950171</v>
      </c>
      <c r="K57" s="354">
        <v>1208.9189716275175</v>
      </c>
      <c r="L57" s="354">
        <v>1260.5182535410202</v>
      </c>
      <c r="M57" s="355">
        <f t="shared" si="4"/>
        <v>8004.5674908958836</v>
      </c>
    </row>
    <row r="58" spans="3:13">
      <c r="C58" s="356" t="s">
        <v>168</v>
      </c>
      <c r="D58" s="354">
        <v>10796.48601517034</v>
      </c>
      <c r="E58" s="354">
        <v>8929.8362391751489</v>
      </c>
      <c r="F58" s="354">
        <v>9508.9564398751209</v>
      </c>
      <c r="G58" s="354">
        <v>11265.453341165368</v>
      </c>
      <c r="H58" s="354">
        <v>14466.941883407808</v>
      </c>
      <c r="I58" s="354">
        <v>15808.290216759797</v>
      </c>
      <c r="J58" s="354">
        <v>12494.149793950508</v>
      </c>
      <c r="K58" s="354">
        <v>14813.42365096309</v>
      </c>
      <c r="L58" s="354">
        <v>15445.692678920492</v>
      </c>
      <c r="M58" s="355">
        <f t="shared" si="4"/>
        <v>98083.537580467178</v>
      </c>
    </row>
    <row r="59" spans="3:13">
      <c r="C59" s="357" t="s">
        <v>169</v>
      </c>
      <c r="D59" s="358">
        <v>21400.932544788837</v>
      </c>
      <c r="E59" s="358">
        <v>17700.83550537374</v>
      </c>
      <c r="F59" s="358">
        <v>18848.774967629332</v>
      </c>
      <c r="G59" s="358">
        <v>22330.525571189024</v>
      </c>
      <c r="H59" s="358">
        <v>28676.557070620729</v>
      </c>
      <c r="I59" s="358">
        <v>31335.394877736428</v>
      </c>
      <c r="J59" s="358">
        <v>24766.063381095715</v>
      </c>
      <c r="K59" s="358">
        <v>29363.357657870205</v>
      </c>
      <c r="L59" s="358">
        <v>30616.649404690674</v>
      </c>
      <c r="M59" s="359">
        <f t="shared" si="4"/>
        <v>194422.44157630397</v>
      </c>
    </row>
    <row r="60" spans="3:13">
      <c r="C60" s="349" t="s">
        <v>170</v>
      </c>
      <c r="D60" s="360">
        <v>0</v>
      </c>
      <c r="E60" s="360">
        <v>0</v>
      </c>
      <c r="F60" s="360">
        <v>0</v>
      </c>
      <c r="G60" s="360">
        <v>0</v>
      </c>
      <c r="H60" s="360">
        <v>0</v>
      </c>
      <c r="I60" s="360">
        <v>0</v>
      </c>
      <c r="J60" s="360">
        <v>0</v>
      </c>
      <c r="K60" s="360">
        <v>0</v>
      </c>
      <c r="L60" s="360">
        <v>0</v>
      </c>
    </row>
    <row r="62" spans="3:13" s="363" customFormat="1" ht="38.25">
      <c r="C62" s="361" t="s">
        <v>200</v>
      </c>
      <c r="D62" s="362" t="s">
        <v>171</v>
      </c>
    </row>
    <row r="63" spans="3:13">
      <c r="C63" s="353" t="s">
        <v>139</v>
      </c>
      <c r="D63" s="364">
        <f>ROUND((M54*E40+M55*E42+M56*E43)/SUM(M54:M56),0)</f>
        <v>49</v>
      </c>
    </row>
    <row r="64" spans="3:13">
      <c r="C64" s="356" t="s">
        <v>138</v>
      </c>
      <c r="D64" s="364">
        <f>ROUND((SUM(M57:M58)*E45+M59*E44)/SUM(M57:M59),0)</f>
        <v>43</v>
      </c>
    </row>
    <row r="65" spans="1:21">
      <c r="C65" s="356" t="s">
        <v>133</v>
      </c>
      <c r="D65" s="364">
        <f>E39</f>
        <v>10</v>
      </c>
    </row>
    <row r="66" spans="1:21">
      <c r="C66" s="356" t="s">
        <v>143</v>
      </c>
      <c r="D66" s="364">
        <f>E40</f>
        <v>45</v>
      </c>
    </row>
    <row r="67" spans="1:21">
      <c r="C67" s="356" t="s">
        <v>135</v>
      </c>
      <c r="D67" s="364">
        <f>ROUND(AVERAGE(E47:E49),0)</f>
        <v>12</v>
      </c>
    </row>
    <row r="68" spans="1:21">
      <c r="C68" s="357" t="s">
        <v>134</v>
      </c>
      <c r="D68" s="365">
        <f>E46</f>
        <v>4</v>
      </c>
    </row>
    <row r="72" spans="1:21" s="368" customFormat="1" ht="18.75">
      <c r="A72" s="366" t="s">
        <v>189</v>
      </c>
      <c r="B72" s="367"/>
      <c r="C72" s="367"/>
      <c r="D72" s="367"/>
      <c r="E72" s="367"/>
      <c r="F72" s="367"/>
      <c r="G72" s="367"/>
      <c r="H72" s="367"/>
      <c r="I72" s="367"/>
      <c r="J72" s="367"/>
      <c r="K72" s="367"/>
      <c r="L72" s="367"/>
      <c r="M72" s="367"/>
      <c r="N72" s="367"/>
      <c r="O72" s="367"/>
      <c r="P72" s="367"/>
      <c r="Q72" s="367"/>
      <c r="R72" s="367"/>
      <c r="S72" s="367"/>
      <c r="T72" s="367"/>
      <c r="U72" s="367"/>
    </row>
    <row r="74" spans="1:21" s="396" customFormat="1" ht="51">
      <c r="C74" s="397" t="s">
        <v>182</v>
      </c>
      <c r="D74" s="398" t="s">
        <v>190</v>
      </c>
      <c r="E74" s="514" t="s">
        <v>212</v>
      </c>
      <c r="F74" s="399" t="s">
        <v>191</v>
      </c>
      <c r="G74" s="400" t="s">
        <v>192</v>
      </c>
    </row>
    <row r="75" spans="1:21">
      <c r="C75" s="401" t="s">
        <v>138</v>
      </c>
      <c r="D75" s="402">
        <f>IF(ISERROR(VLOOKUP($C75,Input!$G$7:$L$15,6,0)),"n/a",VLOOKUP($C75,Input!$G$7:$L$15,6,0))</f>
        <v>50</v>
      </c>
      <c r="E75" s="517">
        <f ca="1">IF(ISERROR(VLOOKUP($C75,'Asset lives roll forward'!$C$19:$M$131,11,0)),"n/a",VLOOKUP($C75,'Asset lives roll forward'!$C$19:$M$131,4,0))</f>
        <v>37.408451254748833</v>
      </c>
      <c r="F75" s="402">
        <f>IF(ISERROR(VLOOKUP($C75,$C$63:$D$68,2,0)),"n/a",VLOOKUP($C75,$C$63:$D$68,2,0))</f>
        <v>43</v>
      </c>
      <c r="G75" s="403">
        <f ca="1">IF(ISERROR(F75*E75/D75),"n/a",F75*E75/D75)</f>
        <v>32.171268079084001</v>
      </c>
    </row>
    <row r="76" spans="1:21">
      <c r="C76" s="404" t="s">
        <v>185</v>
      </c>
      <c r="D76" s="405">
        <f>IF(ISERROR(VLOOKUP($C76,Input!$G$7:$L$15,6,0)),"n/a",VLOOKUP($C76,Input!$G$7:$L$15,6,0))</f>
        <v>49</v>
      </c>
      <c r="E76" s="518">
        <f ca="1">IF(ISERROR(VLOOKUP($C76,'Asset lives roll forward'!$C$19:$M$131,11,0)),"n/a",VLOOKUP($C76,'Asset lives roll forward'!$C$19:$M$131,4,0))</f>
        <v>26.293343287129822</v>
      </c>
      <c r="F76" s="405">
        <f t="shared" ref="F76:F81" si="5">IF(ISERROR(VLOOKUP($C76,$C$63:$D$68,2,0)),"n/a",VLOOKUP($C76,$C$63:$D$68,2,0))</f>
        <v>49</v>
      </c>
      <c r="G76" s="406">
        <f t="shared" ref="G76:G81" ca="1" si="6">IF(ISERROR(F76*E76/D76),"n/a",F76*E76/D76)</f>
        <v>26.293343287129826</v>
      </c>
    </row>
    <row r="77" spans="1:21">
      <c r="C77" s="404" t="s">
        <v>143</v>
      </c>
      <c r="D77" s="405">
        <f>IF(ISERROR(VLOOKUP($C77,Input!$G$7:$L$15,6,0)),"n/a",VLOOKUP($C77,Input!$G$7:$L$15,6,0))</f>
        <v>21.558463738876096</v>
      </c>
      <c r="E77" s="518">
        <f ca="1">IF(ISERROR(VLOOKUP($C77,'Asset lives roll forward'!$C$19:$M$131,11,0)),"n/a",VLOOKUP($C77,'Asset lives roll forward'!$C$19:$M$131,4,0))</f>
        <v>0</v>
      </c>
      <c r="F77" s="405">
        <f t="shared" si="5"/>
        <v>45</v>
      </c>
      <c r="G77" s="406">
        <f t="shared" ca="1" si="6"/>
        <v>0</v>
      </c>
    </row>
    <row r="78" spans="1:21">
      <c r="C78" s="389" t="s">
        <v>186</v>
      </c>
      <c r="D78" s="405" t="str">
        <f>IF(ISERROR(VLOOKUP($C78,Input!$G$7:$L$15,6,0)),"n/a",VLOOKUP($C78,Input!$G$7:$L$15,6,0))</f>
        <v>n/a</v>
      </c>
      <c r="E78" s="518">
        <f ca="1">IF(ISERROR(VLOOKUP($C78,'Asset lives roll forward'!$C$19:$M$131,11,0)),"n/a",VLOOKUP($C78,'Asset lives roll forward'!$C$19:$M$131,4,0))</f>
        <v>1.0609571852169655</v>
      </c>
      <c r="F78" s="405" t="str">
        <f t="shared" si="5"/>
        <v>n/a</v>
      </c>
      <c r="G78" s="406" t="str">
        <f t="shared" ca="1" si="6"/>
        <v>n/a</v>
      </c>
    </row>
    <row r="79" spans="1:21">
      <c r="C79" s="404" t="s">
        <v>133</v>
      </c>
      <c r="D79" s="405">
        <f>IF(ISERROR(VLOOKUP($C79,Input!$G$7:$L$15,6,0)),"n/a",VLOOKUP($C79,Input!$G$7:$L$15,6,0))</f>
        <v>13</v>
      </c>
      <c r="E79" s="518">
        <f ca="1">IF(ISERROR(VLOOKUP($C79,'Asset lives roll forward'!$C$19:$M$131,11,0)),"n/a",VLOOKUP($C79,'Asset lives roll forward'!$C$19:$M$131,4,0))</f>
        <v>8.1517965749210077</v>
      </c>
      <c r="F79" s="405">
        <f t="shared" si="5"/>
        <v>10</v>
      </c>
      <c r="G79" s="406">
        <f t="shared" ca="1" si="6"/>
        <v>6.2706127499392368</v>
      </c>
    </row>
    <row r="80" spans="1:21">
      <c r="C80" s="404" t="s">
        <v>134</v>
      </c>
      <c r="D80" s="405">
        <f>IF(ISERROR(VLOOKUP($C80,Input!$G$7:$L$15,6,0)),"n/a",VLOOKUP($C80,Input!$G$7:$L$15,6,0))</f>
        <v>6</v>
      </c>
      <c r="E80" s="518">
        <f ca="1">IF(ISERROR(VLOOKUP($C80,'Asset lives roll forward'!$C$19:$M$131,11,0)),"n/a",VLOOKUP($C80,'Asset lives roll forward'!$C$19:$M$131,4,0))</f>
        <v>5.0556859255730826</v>
      </c>
      <c r="F80" s="405">
        <f t="shared" si="5"/>
        <v>4</v>
      </c>
      <c r="G80" s="406">
        <f t="shared" ca="1" si="6"/>
        <v>3.3704572837153886</v>
      </c>
    </row>
    <row r="81" spans="3:7">
      <c r="C81" s="407" t="s">
        <v>135</v>
      </c>
      <c r="D81" s="408">
        <f>IF(ISERROR(VLOOKUP($C81,Input!$G$7:$L$15,6,0)),"n/a",VLOOKUP($C81,Input!$G$7:$L$15,6,0))</f>
        <v>10</v>
      </c>
      <c r="E81" s="519">
        <f ca="1">IF(ISERROR(VLOOKUP($C81,'Asset lives roll forward'!$C$19:$M$131,11,0)),"n/a",VLOOKUP($C81,'Asset lives roll forward'!$C$19:$M$131,4,0))</f>
        <v>7.1354375865981314</v>
      </c>
      <c r="F81" s="408">
        <f t="shared" si="5"/>
        <v>12</v>
      </c>
      <c r="G81" s="409">
        <f t="shared" ca="1" si="6"/>
        <v>8.5625251039177588</v>
      </c>
    </row>
  </sheetData>
  <mergeCells count="9">
    <mergeCell ref="C13:E13"/>
    <mergeCell ref="C14:E14"/>
    <mergeCell ref="C16:E16"/>
    <mergeCell ref="C7:E7"/>
    <mergeCell ref="C8:E8"/>
    <mergeCell ref="C9:E9"/>
    <mergeCell ref="C10:E10"/>
    <mergeCell ref="C11:E11"/>
    <mergeCell ref="C12:E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259"/>
  <sheetViews>
    <sheetView tabSelected="1" topLeftCell="F1" zoomScale="80" zoomScaleNormal="80" workbookViewId="0">
      <selection activeCell="G17" sqref="G16:I17"/>
    </sheetView>
  </sheetViews>
  <sheetFormatPr defaultRowHeight="12.75"/>
  <cols>
    <col min="1" max="4" width="0.85546875" style="429" customWidth="1"/>
    <col min="5" max="5" width="23.42578125" style="495" customWidth="1"/>
    <col min="6" max="6" width="14.28515625" style="495" customWidth="1"/>
    <col min="7" max="7" width="14.28515625" style="496" customWidth="1"/>
    <col min="8" max="8" width="14.28515625" style="497" customWidth="1"/>
    <col min="9" max="9" width="14.28515625" style="498" customWidth="1"/>
    <col min="10" max="10" width="15.140625" style="498" customWidth="1"/>
    <col min="11" max="11" width="14.28515625" style="498" customWidth="1"/>
    <col min="12" max="12" width="12.28515625" style="499" customWidth="1"/>
    <col min="13" max="13" width="11.28515625" style="429" customWidth="1"/>
    <col min="14" max="14" width="14.28515625" style="429" customWidth="1"/>
    <col min="15" max="16" width="12.5703125" style="429" customWidth="1"/>
    <col min="17" max="17" width="13.7109375" style="429" customWidth="1"/>
    <col min="18" max="16384" width="9.140625" style="429"/>
  </cols>
  <sheetData>
    <row r="1" spans="1:25">
      <c r="A1" s="461"/>
      <c r="B1" s="461"/>
      <c r="C1" s="461"/>
      <c r="D1" s="461"/>
      <c r="E1" s="461"/>
      <c r="F1" s="461"/>
      <c r="G1" s="461"/>
      <c r="H1" s="461"/>
      <c r="I1" s="461"/>
      <c r="J1" s="461"/>
      <c r="K1" s="461"/>
      <c r="L1" s="461"/>
      <c r="M1" s="461"/>
      <c r="N1" s="461"/>
      <c r="O1" s="461"/>
      <c r="P1" s="461"/>
      <c r="Q1" s="461"/>
      <c r="R1" s="461"/>
      <c r="S1" s="461"/>
      <c r="T1" s="461"/>
      <c r="U1" s="461"/>
      <c r="V1" s="461"/>
      <c r="W1" s="461"/>
      <c r="X1" s="461"/>
      <c r="Y1" s="461"/>
    </row>
    <row r="2" spans="1:25" s="464" customFormat="1" ht="15.75">
      <c r="A2" s="461"/>
      <c r="B2" s="462"/>
      <c r="C2" s="461"/>
      <c r="D2" s="461"/>
      <c r="E2" s="463" t="s">
        <v>206</v>
      </c>
      <c r="F2" s="461"/>
      <c r="G2" s="461"/>
      <c r="H2" s="461"/>
      <c r="I2" s="461"/>
      <c r="J2" s="461"/>
      <c r="K2" s="461"/>
      <c r="L2" s="461"/>
      <c r="M2" s="461"/>
      <c r="N2" s="461"/>
      <c r="O2" s="461"/>
      <c r="P2" s="461"/>
      <c r="Q2" s="461"/>
      <c r="R2" s="461"/>
      <c r="S2" s="461"/>
      <c r="T2" s="461"/>
      <c r="U2" s="461"/>
      <c r="V2" s="461"/>
      <c r="W2" s="461"/>
      <c r="X2" s="461"/>
      <c r="Y2" s="461"/>
    </row>
    <row r="3" spans="1:25">
      <c r="A3" s="461"/>
      <c r="B3" s="461"/>
      <c r="C3" s="461"/>
      <c r="D3" s="461"/>
      <c r="E3" s="461"/>
      <c r="F3" s="461"/>
      <c r="G3" s="461"/>
      <c r="H3" s="461"/>
      <c r="I3" s="461"/>
      <c r="J3" s="461"/>
      <c r="K3" s="461"/>
      <c r="L3" s="461"/>
      <c r="M3" s="461"/>
      <c r="N3" s="461"/>
      <c r="O3" s="461"/>
      <c r="P3" s="461"/>
      <c r="Q3" s="461"/>
      <c r="R3" s="461"/>
      <c r="S3" s="461"/>
      <c r="T3" s="461"/>
      <c r="U3" s="461"/>
      <c r="V3" s="461"/>
      <c r="W3" s="461"/>
      <c r="X3" s="461"/>
      <c r="Y3" s="461"/>
    </row>
    <row r="4" spans="1:25" ht="16.5" customHeight="1">
      <c r="A4" s="465"/>
      <c r="B4" s="466"/>
      <c r="C4" s="465"/>
      <c r="D4" s="465"/>
      <c r="E4" s="465"/>
      <c r="F4" s="465"/>
      <c r="G4" s="467"/>
      <c r="H4" s="467"/>
      <c r="I4" s="467"/>
      <c r="J4" s="467"/>
      <c r="K4" s="467"/>
      <c r="L4" s="467"/>
      <c r="M4" s="467"/>
      <c r="N4" s="467"/>
      <c r="O4" s="467"/>
      <c r="P4" s="467"/>
      <c r="Q4" s="467"/>
      <c r="R4" s="461"/>
      <c r="S4" s="461"/>
      <c r="T4" s="461"/>
      <c r="U4" s="461"/>
      <c r="V4" s="461"/>
      <c r="W4" s="461"/>
      <c r="X4" s="461"/>
      <c r="Y4" s="461"/>
    </row>
    <row r="5" spans="1:25">
      <c r="A5" s="468"/>
      <c r="B5" s="469"/>
      <c r="C5" s="469"/>
      <c r="D5" s="469"/>
      <c r="E5" s="551" t="str">
        <f>"Opening Regulatory Asset Base for "&amp;P7&amp;" ($m Nominal)"</f>
        <v>Opening Regulatory Asset Base for 2016 ($m Nominal)</v>
      </c>
      <c r="F5" s="551"/>
      <c r="G5" s="551"/>
      <c r="H5" s="551"/>
      <c r="I5" s="470"/>
      <c r="J5" s="470"/>
      <c r="K5" s="470"/>
      <c r="L5" s="468"/>
      <c r="M5" s="468"/>
      <c r="N5" s="468"/>
      <c r="O5" s="468"/>
      <c r="P5" s="468"/>
      <c r="Q5" s="468"/>
      <c r="R5" s="461"/>
      <c r="S5" s="461"/>
      <c r="T5" s="461"/>
      <c r="U5" s="461"/>
      <c r="V5" s="461"/>
      <c r="W5" s="461"/>
      <c r="X5" s="461"/>
      <c r="Y5" s="461"/>
    </row>
    <row r="6" spans="1:25" s="475" customFormat="1" ht="51.75" customHeight="1">
      <c r="A6" s="471"/>
      <c r="B6" s="471"/>
      <c r="C6" s="471"/>
      <c r="D6" s="471"/>
      <c r="E6" s="472"/>
      <c r="F6" s="472"/>
      <c r="G6" s="552" t="s">
        <v>87</v>
      </c>
      <c r="H6" s="552"/>
      <c r="I6" s="552"/>
      <c r="J6" s="473" t="s">
        <v>2</v>
      </c>
      <c r="K6" s="474" t="s">
        <v>207</v>
      </c>
      <c r="L6" s="474" t="s">
        <v>208</v>
      </c>
      <c r="M6" s="473" t="s">
        <v>66</v>
      </c>
      <c r="N6" s="473" t="s">
        <v>209</v>
      </c>
      <c r="O6" s="473" t="s">
        <v>210</v>
      </c>
      <c r="P6" s="473" t="s">
        <v>23</v>
      </c>
      <c r="Q6" s="473" t="s">
        <v>115</v>
      </c>
      <c r="R6" s="471"/>
      <c r="S6" s="471"/>
      <c r="T6" s="471"/>
      <c r="U6" s="471"/>
      <c r="V6" s="471"/>
      <c r="W6" s="471"/>
      <c r="X6" s="471"/>
      <c r="Y6" s="471"/>
    </row>
    <row r="7" spans="1:25">
      <c r="A7" s="476"/>
      <c r="B7" s="476"/>
      <c r="C7" s="476"/>
      <c r="D7" s="476"/>
      <c r="E7" s="553"/>
      <c r="F7" s="554"/>
      <c r="G7" s="555" t="str">
        <f>'Total actual RAB roll forward'!$D359</f>
        <v>Subtransmission</v>
      </c>
      <c r="H7" s="556"/>
      <c r="I7" s="556"/>
      <c r="J7" s="502">
        <f>'Total actual RAB roll forward'!$T359</f>
        <v>408.95342419080021</v>
      </c>
      <c r="K7" s="477"/>
      <c r="L7" s="477"/>
      <c r="M7" s="505">
        <f>'PTRM Tax Inputs'!$F7</f>
        <v>276.69405293101858</v>
      </c>
      <c r="N7" s="506">
        <f ca="1">'PTRM Tax Inputs'!$G7</f>
        <v>32.171268079084001</v>
      </c>
      <c r="O7" s="506">
        <f>'PTRM Tax Inputs'!$H7</f>
        <v>43</v>
      </c>
      <c r="P7" s="478">
        <v>2016</v>
      </c>
      <c r="Q7" s="479"/>
      <c r="R7" s="461"/>
      <c r="S7" s="461"/>
      <c r="T7" s="461"/>
      <c r="U7" s="461"/>
      <c r="V7" s="461"/>
      <c r="W7" s="461"/>
      <c r="X7" s="461"/>
      <c r="Y7" s="461"/>
    </row>
    <row r="8" spans="1:25">
      <c r="A8" s="476"/>
      <c r="B8" s="476"/>
      <c r="C8" s="476"/>
      <c r="D8" s="476"/>
      <c r="E8" s="553"/>
      <c r="F8" s="554"/>
      <c r="G8" s="557" t="str">
        <f>'Total actual RAB roll forward'!$D360</f>
        <v>Distribution system assets</v>
      </c>
      <c r="H8" s="558"/>
      <c r="I8" s="558"/>
      <c r="J8" s="513">
        <f>'Total actual RAB roll forward'!$T360-J16-J17</f>
        <v>1301.9787028457779</v>
      </c>
      <c r="K8" s="477"/>
      <c r="L8" s="477"/>
      <c r="M8" s="507">
        <f>'PTRM Tax Inputs'!$F8</f>
        <v>886.91253816512153</v>
      </c>
      <c r="N8" s="508">
        <f ca="1">'PTRM Tax Inputs'!$G8</f>
        <v>26.293343287129826</v>
      </c>
      <c r="O8" s="508">
        <f>'PTRM Tax Inputs'!$H8</f>
        <v>49</v>
      </c>
      <c r="P8" s="480"/>
      <c r="Q8" s="481"/>
      <c r="R8" s="461"/>
      <c r="S8" s="482"/>
      <c r="T8" s="461"/>
      <c r="U8" s="461"/>
      <c r="V8" s="461"/>
      <c r="W8" s="461"/>
      <c r="X8" s="461"/>
      <c r="Y8" s="461"/>
    </row>
    <row r="9" spans="1:25">
      <c r="A9" s="476"/>
      <c r="B9" s="476"/>
      <c r="C9" s="476"/>
      <c r="D9" s="476"/>
      <c r="E9" s="553"/>
      <c r="F9" s="554"/>
      <c r="G9" s="557" t="str">
        <f>'Total actual RAB roll forward'!$D361</f>
        <v>Standard metering</v>
      </c>
      <c r="H9" s="558"/>
      <c r="I9" s="558"/>
      <c r="J9" s="503">
        <f>'Total actual RAB roll forward'!$T361</f>
        <v>7.5491381452734991</v>
      </c>
      <c r="K9" s="477"/>
      <c r="L9" s="477"/>
      <c r="M9" s="507">
        <f>'PTRM Tax Inputs'!$F9</f>
        <v>2.4257125120439989E-2</v>
      </c>
      <c r="N9" s="508" t="str">
        <f ca="1">'PTRM Tax Inputs'!$G9</f>
        <v>n/a</v>
      </c>
      <c r="O9" s="508" t="str">
        <f>'PTRM Tax Inputs'!$H9</f>
        <v>n/a</v>
      </c>
      <c r="P9" s="480"/>
      <c r="Q9" s="481"/>
      <c r="R9" s="461"/>
      <c r="S9" s="461"/>
      <c r="T9" s="461"/>
      <c r="U9" s="461"/>
      <c r="V9" s="461"/>
      <c r="W9" s="461"/>
      <c r="X9" s="461"/>
      <c r="Y9" s="461"/>
    </row>
    <row r="10" spans="1:25">
      <c r="A10" s="476"/>
      <c r="B10" s="476"/>
      <c r="C10" s="476"/>
      <c r="D10" s="476"/>
      <c r="E10" s="553"/>
      <c r="F10" s="554"/>
      <c r="G10" s="557" t="str">
        <f>'Total actual RAB roll forward'!$D362</f>
        <v>Public lighting</v>
      </c>
      <c r="H10" s="558"/>
      <c r="I10" s="558"/>
      <c r="J10" s="503">
        <f>'Total actual RAB roll forward'!$T362</f>
        <v>7.6656831943492296</v>
      </c>
      <c r="K10" s="477"/>
      <c r="L10" s="477"/>
      <c r="M10" s="509">
        <f>'PTRM Tax Inputs'!$F10</f>
        <v>0</v>
      </c>
      <c r="N10" s="508" t="str">
        <f>'PTRM Tax Inputs'!$G10</f>
        <v>n/a</v>
      </c>
      <c r="O10" s="508" t="str">
        <f>'PTRM Tax Inputs'!$H10</f>
        <v>n/a</v>
      </c>
      <c r="P10" s="480"/>
      <c r="Q10" s="481"/>
      <c r="R10" s="461"/>
      <c r="S10" s="461"/>
      <c r="T10" s="461"/>
      <c r="U10" s="461"/>
      <c r="V10" s="461"/>
      <c r="W10" s="461"/>
      <c r="X10" s="461"/>
      <c r="Y10" s="461"/>
    </row>
    <row r="11" spans="1:25">
      <c r="A11" s="476"/>
      <c r="B11" s="476"/>
      <c r="C11" s="476"/>
      <c r="D11" s="476"/>
      <c r="E11" s="553"/>
      <c r="F11" s="554"/>
      <c r="G11" s="557" t="str">
        <f>'Total actual RAB roll forward'!$D363</f>
        <v>SCADA/Network control</v>
      </c>
      <c r="H11" s="558"/>
      <c r="I11" s="558"/>
      <c r="J11" s="503">
        <f>'Total actual RAB roll forward'!$T363</f>
        <v>14.411215136879779</v>
      </c>
      <c r="K11" s="477"/>
      <c r="L11" s="477"/>
      <c r="M11" s="507">
        <f>'PTRM Tax Inputs'!$F11</f>
        <v>14.907055947993305</v>
      </c>
      <c r="N11" s="508">
        <f ca="1">'PTRM Tax Inputs'!$G11</f>
        <v>6.2706127499392368</v>
      </c>
      <c r="O11" s="508">
        <f>'PTRM Tax Inputs'!$H11</f>
        <v>10</v>
      </c>
      <c r="P11" s="480"/>
      <c r="Q11" s="481"/>
      <c r="R11" s="461"/>
      <c r="S11" s="461"/>
      <c r="T11" s="461"/>
      <c r="U11" s="461"/>
      <c r="V11" s="461"/>
      <c r="W11" s="461"/>
      <c r="X11" s="461"/>
      <c r="Y11" s="461"/>
    </row>
    <row r="12" spans="1:25">
      <c r="A12" s="476"/>
      <c r="B12" s="476"/>
      <c r="C12" s="476"/>
      <c r="D12" s="476"/>
      <c r="E12" s="553"/>
      <c r="F12" s="554"/>
      <c r="G12" s="557" t="str">
        <f>'Total actual RAB roll forward'!$D364</f>
        <v>Non-network general assets - IT</v>
      </c>
      <c r="H12" s="558"/>
      <c r="I12" s="558"/>
      <c r="J12" s="503">
        <f>'Total actual RAB roll forward'!$T364</f>
        <v>32.098420605592821</v>
      </c>
      <c r="K12" s="477"/>
      <c r="L12" s="477"/>
      <c r="M12" s="507">
        <f>'PTRM Tax Inputs'!$F12</f>
        <v>20.071666618739179</v>
      </c>
      <c r="N12" s="508">
        <f ca="1">'PTRM Tax Inputs'!$G12</f>
        <v>3.3704572837153886</v>
      </c>
      <c r="O12" s="508">
        <f>'PTRM Tax Inputs'!$H12</f>
        <v>4</v>
      </c>
      <c r="P12" s="480"/>
      <c r="Q12" s="481"/>
      <c r="R12" s="461"/>
      <c r="S12" s="482"/>
      <c r="T12" s="461"/>
      <c r="U12" s="461"/>
      <c r="V12" s="461"/>
      <c r="W12" s="461"/>
      <c r="X12" s="461"/>
      <c r="Y12" s="461"/>
    </row>
    <row r="13" spans="1:25">
      <c r="A13" s="476"/>
      <c r="B13" s="476"/>
      <c r="C13" s="476"/>
      <c r="D13" s="476"/>
      <c r="E13" s="553"/>
      <c r="F13" s="554"/>
      <c r="G13" s="557" t="str">
        <f>'Total actual RAB roll forward'!$D365</f>
        <v>Non-network general assets - Other</v>
      </c>
      <c r="H13" s="558"/>
      <c r="I13" s="558"/>
      <c r="J13" s="503">
        <f>'Total actual RAB roll forward'!$T365</f>
        <v>12.300380341668591</v>
      </c>
      <c r="K13" s="477"/>
      <c r="L13" s="477"/>
      <c r="M13" s="507">
        <f>'PTRM Tax Inputs'!$F13</f>
        <v>12.540054099089735</v>
      </c>
      <c r="N13" s="508">
        <f ca="1">'PTRM Tax Inputs'!$G13</f>
        <v>8.5625251039177588</v>
      </c>
      <c r="O13" s="508">
        <f>'PTRM Tax Inputs'!$H13</f>
        <v>12</v>
      </c>
      <c r="P13" s="480"/>
      <c r="Q13" s="481"/>
      <c r="R13" s="461"/>
      <c r="S13" s="461"/>
      <c r="T13" s="461"/>
      <c r="U13" s="461"/>
      <c r="V13" s="461"/>
      <c r="W13" s="461"/>
      <c r="X13" s="461"/>
      <c r="Y13" s="461"/>
    </row>
    <row r="14" spans="1:25">
      <c r="A14" s="476"/>
      <c r="B14" s="476"/>
      <c r="C14" s="476"/>
      <c r="D14" s="476"/>
      <c r="E14" s="553"/>
      <c r="F14" s="554"/>
      <c r="G14" s="557" t="str">
        <f>'Total actual RAB roll forward'!$D366</f>
        <v>VBRC</v>
      </c>
      <c r="H14" s="558"/>
      <c r="I14" s="558"/>
      <c r="J14" s="503">
        <f>'Total actual RAB roll forward'!$T366</f>
        <v>0</v>
      </c>
      <c r="K14" s="477"/>
      <c r="L14" s="477"/>
      <c r="M14" s="507">
        <f>'PTRM Tax Inputs'!$F14</f>
        <v>0</v>
      </c>
      <c r="N14" s="508">
        <f ca="1">'PTRM Tax Inputs'!$G14</f>
        <v>0</v>
      </c>
      <c r="O14" s="508">
        <f>'PTRM Tax Inputs'!$H14</f>
        <v>45</v>
      </c>
      <c r="P14" s="480"/>
      <c r="Q14" s="481"/>
      <c r="R14" s="461"/>
      <c r="S14" s="461"/>
      <c r="T14" s="461"/>
      <c r="U14" s="461"/>
      <c r="V14" s="461"/>
      <c r="W14" s="461"/>
      <c r="X14" s="461"/>
      <c r="Y14" s="461"/>
    </row>
    <row r="15" spans="1:25">
      <c r="A15" s="476"/>
      <c r="B15" s="476"/>
      <c r="C15" s="476"/>
      <c r="D15" s="476"/>
      <c r="E15" s="483"/>
      <c r="F15" s="484"/>
      <c r="G15" s="559" t="str">
        <f>'PTRM Tax Inputs'!$C$15</f>
        <v>Land</v>
      </c>
      <c r="H15" s="560"/>
      <c r="I15" s="560"/>
      <c r="J15" s="504">
        <v>0</v>
      </c>
      <c r="K15" s="477"/>
      <c r="L15" s="477"/>
      <c r="M15" s="507">
        <f>'PTRM Tax Inputs'!$F15</f>
        <v>34.523225351264784</v>
      </c>
      <c r="N15" s="508" t="str">
        <f>'PTRM Tax Inputs'!$G15</f>
        <v>n/a</v>
      </c>
      <c r="O15" s="508" t="str">
        <f>'PTRM Tax Inputs'!$H15</f>
        <v>n/a</v>
      </c>
      <c r="P15" s="480"/>
      <c r="Q15" s="481"/>
      <c r="R15" s="461"/>
      <c r="S15" s="461"/>
      <c r="T15" s="461"/>
      <c r="U15" s="461"/>
      <c r="V15" s="461"/>
      <c r="W15" s="461"/>
      <c r="X15" s="461"/>
      <c r="Y15" s="461"/>
    </row>
    <row r="16" spans="1:25">
      <c r="A16" s="476"/>
      <c r="B16" s="476"/>
      <c r="C16" s="476"/>
      <c r="D16" s="476"/>
      <c r="E16" s="553"/>
      <c r="F16" s="554"/>
      <c r="G16" s="561" t="s">
        <v>202</v>
      </c>
      <c r="H16" s="562"/>
      <c r="I16" s="562"/>
      <c r="J16" s="504">
        <v>14.672893596428056</v>
      </c>
      <c r="K16" s="477"/>
      <c r="L16" s="477"/>
      <c r="M16" s="510">
        <v>0</v>
      </c>
      <c r="N16" s="511" t="s">
        <v>118</v>
      </c>
      <c r="O16" s="511" t="s">
        <v>118</v>
      </c>
      <c r="P16" s="480"/>
      <c r="Q16" s="481"/>
      <c r="R16" s="461"/>
      <c r="S16" s="461"/>
      <c r="T16" s="461"/>
      <c r="U16" s="461"/>
      <c r="V16" s="461"/>
      <c r="W16" s="461"/>
      <c r="X16" s="461"/>
      <c r="Y16" s="461"/>
    </row>
    <row r="17" spans="1:25">
      <c r="A17" s="476"/>
      <c r="B17" s="476"/>
      <c r="C17" s="476"/>
      <c r="D17" s="476"/>
      <c r="E17" s="553"/>
      <c r="F17" s="554"/>
      <c r="G17" s="561" t="s">
        <v>211</v>
      </c>
      <c r="H17" s="562"/>
      <c r="I17" s="562"/>
      <c r="J17" s="504">
        <v>0</v>
      </c>
      <c r="K17" s="477"/>
      <c r="L17" s="477"/>
      <c r="M17" s="510">
        <v>0</v>
      </c>
      <c r="N17" s="512" t="s">
        <v>118</v>
      </c>
      <c r="O17" s="512" t="s">
        <v>118</v>
      </c>
      <c r="P17" s="480"/>
      <c r="Q17" s="481"/>
      <c r="R17" s="461"/>
      <c r="S17" s="461"/>
      <c r="T17" s="461"/>
      <c r="U17" s="461"/>
      <c r="V17" s="461"/>
      <c r="W17" s="461"/>
      <c r="X17" s="461"/>
      <c r="Y17" s="461"/>
    </row>
    <row r="18" spans="1:25">
      <c r="A18" s="476"/>
      <c r="B18" s="476"/>
      <c r="C18" s="476"/>
      <c r="D18" s="476"/>
      <c r="E18" s="553"/>
      <c r="F18" s="554"/>
      <c r="G18" s="557" t="str">
        <f>'Total actual RAB roll forward'!$D367</f>
        <v>Equity raising</v>
      </c>
      <c r="H18" s="558"/>
      <c r="I18" s="558"/>
      <c r="J18" s="503">
        <f>'Total actual RAB roll forward'!$T367</f>
        <v>2.9540740467471118</v>
      </c>
      <c r="K18" s="477"/>
      <c r="L18" s="477"/>
      <c r="M18" s="507">
        <f>'PTRM Tax Inputs'!$F16</f>
        <v>0</v>
      </c>
      <c r="N18" s="508" t="str">
        <f>'PTRM Tax Inputs'!$G16</f>
        <v>n/a</v>
      </c>
      <c r="O18" s="508">
        <f>'PTRM Tax Inputs'!$H16</f>
        <v>5</v>
      </c>
      <c r="P18" s="480"/>
      <c r="Q18" s="481"/>
      <c r="R18" s="461"/>
      <c r="S18" s="461"/>
      <c r="T18" s="461"/>
      <c r="U18" s="461"/>
      <c r="V18" s="461"/>
      <c r="W18" s="461"/>
      <c r="X18" s="461"/>
      <c r="Y18" s="461"/>
    </row>
    <row r="19" spans="1:25">
      <c r="A19" s="476"/>
      <c r="B19" s="476"/>
      <c r="C19" s="476"/>
      <c r="D19" s="476"/>
      <c r="E19" s="553"/>
      <c r="F19" s="554"/>
      <c r="G19" s="557"/>
      <c r="H19" s="558"/>
      <c r="I19" s="558"/>
      <c r="J19" s="485"/>
      <c r="K19" s="477"/>
      <c r="L19" s="477"/>
      <c r="M19" s="486"/>
      <c r="N19" s="487"/>
      <c r="O19" s="477"/>
      <c r="P19" s="480"/>
      <c r="Q19" s="481"/>
      <c r="R19" s="461"/>
      <c r="S19" s="461"/>
      <c r="T19" s="461"/>
      <c r="U19" s="461"/>
      <c r="V19" s="461"/>
      <c r="W19" s="461"/>
      <c r="X19" s="461"/>
      <c r="Y19" s="461"/>
    </row>
    <row r="20" spans="1:25">
      <c r="A20" s="476"/>
      <c r="B20" s="476"/>
      <c r="C20" s="476"/>
      <c r="D20" s="476"/>
      <c r="E20" s="553"/>
      <c r="F20" s="554"/>
      <c r="G20" s="557"/>
      <c r="H20" s="558"/>
      <c r="I20" s="558"/>
      <c r="J20" s="485"/>
      <c r="K20" s="477"/>
      <c r="L20" s="477"/>
      <c r="M20" s="486"/>
      <c r="N20" s="487"/>
      <c r="O20" s="477"/>
      <c r="P20" s="480"/>
      <c r="Q20" s="481"/>
      <c r="R20" s="461"/>
      <c r="S20" s="461"/>
      <c r="T20" s="461"/>
      <c r="U20" s="461"/>
      <c r="V20" s="461"/>
      <c r="W20" s="461"/>
      <c r="X20" s="461"/>
      <c r="Y20" s="461"/>
    </row>
    <row r="21" spans="1:25">
      <c r="A21" s="476"/>
      <c r="B21" s="476"/>
      <c r="C21" s="476"/>
      <c r="D21" s="476"/>
      <c r="E21" s="553"/>
      <c r="F21" s="554"/>
      <c r="G21" s="557"/>
      <c r="H21" s="558"/>
      <c r="I21" s="558"/>
      <c r="J21" s="485"/>
      <c r="K21" s="477"/>
      <c r="L21" s="477"/>
      <c r="M21" s="486"/>
      <c r="N21" s="487"/>
      <c r="O21" s="477"/>
      <c r="P21" s="480"/>
      <c r="Q21" s="481"/>
      <c r="R21" s="461"/>
      <c r="S21" s="461"/>
      <c r="T21" s="461"/>
      <c r="U21" s="461"/>
      <c r="V21" s="461"/>
      <c r="W21" s="461"/>
      <c r="X21" s="461"/>
      <c r="Y21" s="461"/>
    </row>
    <row r="22" spans="1:25">
      <c r="A22" s="476"/>
      <c r="B22" s="476"/>
      <c r="C22" s="476"/>
      <c r="D22" s="476"/>
      <c r="E22" s="553"/>
      <c r="F22" s="554"/>
      <c r="G22" s="557"/>
      <c r="H22" s="558"/>
      <c r="I22" s="558"/>
      <c r="J22" s="485"/>
      <c r="K22" s="477"/>
      <c r="L22" s="477"/>
      <c r="M22" s="486"/>
      <c r="N22" s="487"/>
      <c r="O22" s="477"/>
      <c r="P22" s="480"/>
      <c r="Q22" s="481"/>
      <c r="R22" s="461"/>
      <c r="S22" s="461"/>
      <c r="T22" s="461"/>
      <c r="U22" s="461"/>
      <c r="V22" s="461"/>
      <c r="W22" s="461"/>
      <c r="X22" s="461"/>
      <c r="Y22" s="461"/>
    </row>
    <row r="23" spans="1:25">
      <c r="A23" s="476"/>
      <c r="B23" s="476"/>
      <c r="C23" s="476"/>
      <c r="D23" s="476"/>
      <c r="E23" s="553"/>
      <c r="F23" s="554"/>
      <c r="G23" s="557"/>
      <c r="H23" s="558"/>
      <c r="I23" s="558"/>
      <c r="J23" s="485"/>
      <c r="K23" s="477"/>
      <c r="L23" s="477"/>
      <c r="M23" s="486"/>
      <c r="N23" s="487"/>
      <c r="O23" s="477"/>
      <c r="P23" s="480"/>
      <c r="Q23" s="481"/>
      <c r="R23" s="461"/>
      <c r="S23" s="461"/>
      <c r="T23" s="461"/>
      <c r="U23" s="461"/>
      <c r="V23" s="461"/>
      <c r="W23" s="461"/>
      <c r="X23" s="461"/>
      <c r="Y23" s="461"/>
    </row>
    <row r="24" spans="1:25">
      <c r="A24" s="476"/>
      <c r="B24" s="476"/>
      <c r="C24" s="476"/>
      <c r="D24" s="476"/>
      <c r="E24" s="553"/>
      <c r="F24" s="554"/>
      <c r="G24" s="557"/>
      <c r="H24" s="558"/>
      <c r="I24" s="558"/>
      <c r="J24" s="485"/>
      <c r="K24" s="477"/>
      <c r="L24" s="477"/>
      <c r="M24" s="486"/>
      <c r="N24" s="487"/>
      <c r="O24" s="477"/>
      <c r="P24" s="480"/>
      <c r="Q24" s="481"/>
      <c r="R24" s="461"/>
      <c r="S24" s="461"/>
      <c r="T24" s="461"/>
      <c r="U24" s="461"/>
      <c r="V24" s="461"/>
      <c r="W24" s="461"/>
      <c r="X24" s="461"/>
      <c r="Y24" s="461"/>
    </row>
    <row r="25" spans="1:25">
      <c r="A25" s="476"/>
      <c r="B25" s="476"/>
      <c r="C25" s="476"/>
      <c r="D25" s="476"/>
      <c r="E25" s="553"/>
      <c r="F25" s="554"/>
      <c r="G25" s="557"/>
      <c r="H25" s="558"/>
      <c r="I25" s="558"/>
      <c r="J25" s="485"/>
      <c r="K25" s="477"/>
      <c r="L25" s="477"/>
      <c r="M25" s="486"/>
      <c r="N25" s="487"/>
      <c r="O25" s="477"/>
      <c r="P25" s="480"/>
      <c r="Q25" s="481"/>
      <c r="R25" s="461"/>
      <c r="S25" s="461"/>
      <c r="T25" s="461"/>
      <c r="U25" s="461"/>
      <c r="V25" s="461"/>
      <c r="W25" s="461"/>
      <c r="X25" s="461"/>
      <c r="Y25" s="461"/>
    </row>
    <row r="26" spans="1:25">
      <c r="A26" s="476"/>
      <c r="B26" s="476"/>
      <c r="C26" s="476"/>
      <c r="D26" s="476"/>
      <c r="E26" s="553"/>
      <c r="F26" s="554"/>
      <c r="G26" s="557"/>
      <c r="H26" s="558"/>
      <c r="I26" s="558"/>
      <c r="J26" s="485"/>
      <c r="K26" s="477"/>
      <c r="L26" s="477"/>
      <c r="M26" s="486"/>
      <c r="N26" s="487"/>
      <c r="O26" s="477"/>
      <c r="P26" s="480"/>
      <c r="Q26" s="481"/>
      <c r="R26" s="461"/>
      <c r="S26" s="461"/>
      <c r="T26" s="461"/>
      <c r="U26" s="461"/>
      <c r="V26" s="461"/>
      <c r="W26" s="461"/>
      <c r="X26" s="461"/>
      <c r="Y26" s="461"/>
    </row>
    <row r="27" spans="1:25">
      <c r="A27" s="476"/>
      <c r="B27" s="476"/>
      <c r="C27" s="476"/>
      <c r="D27" s="476"/>
      <c r="E27" s="553"/>
      <c r="F27" s="554"/>
      <c r="G27" s="557"/>
      <c r="H27" s="558"/>
      <c r="I27" s="558"/>
      <c r="J27" s="485"/>
      <c r="K27" s="477"/>
      <c r="L27" s="477"/>
      <c r="M27" s="486"/>
      <c r="N27" s="487"/>
      <c r="O27" s="477"/>
      <c r="P27" s="480"/>
      <c r="Q27" s="481"/>
      <c r="R27" s="461"/>
      <c r="S27" s="461"/>
      <c r="T27" s="461"/>
      <c r="U27" s="461"/>
      <c r="V27" s="461"/>
      <c r="W27" s="461"/>
      <c r="X27" s="461"/>
      <c r="Y27" s="461"/>
    </row>
    <row r="28" spans="1:25">
      <c r="A28" s="476"/>
      <c r="B28" s="476"/>
      <c r="C28" s="476"/>
      <c r="D28" s="476"/>
      <c r="E28" s="553"/>
      <c r="F28" s="554"/>
      <c r="G28" s="557"/>
      <c r="H28" s="558"/>
      <c r="I28" s="558"/>
      <c r="J28" s="485"/>
      <c r="K28" s="477"/>
      <c r="L28" s="477"/>
      <c r="M28" s="486"/>
      <c r="N28" s="487"/>
      <c r="O28" s="477"/>
      <c r="P28" s="480"/>
      <c r="Q28" s="481"/>
      <c r="R28" s="461"/>
      <c r="S28" s="461"/>
      <c r="T28" s="461"/>
      <c r="U28" s="461"/>
      <c r="V28" s="461"/>
      <c r="W28" s="461"/>
      <c r="X28" s="461"/>
      <c r="Y28" s="461"/>
    </row>
    <row r="29" spans="1:25">
      <c r="A29" s="476"/>
      <c r="B29" s="476"/>
      <c r="C29" s="476"/>
      <c r="D29" s="476"/>
      <c r="E29" s="553"/>
      <c r="F29" s="554"/>
      <c r="G29" s="557"/>
      <c r="H29" s="558"/>
      <c r="I29" s="558"/>
      <c r="J29" s="485"/>
      <c r="K29" s="477"/>
      <c r="L29" s="477"/>
      <c r="M29" s="486"/>
      <c r="N29" s="487"/>
      <c r="O29" s="477"/>
      <c r="P29" s="480"/>
      <c r="Q29" s="481"/>
      <c r="R29" s="461"/>
      <c r="S29" s="461"/>
      <c r="T29" s="461"/>
      <c r="U29" s="461"/>
      <c r="V29" s="461"/>
      <c r="W29" s="461"/>
      <c r="X29" s="461"/>
      <c r="Y29" s="461"/>
    </row>
    <row r="30" spans="1:25">
      <c r="A30" s="476"/>
      <c r="B30" s="476"/>
      <c r="C30" s="476"/>
      <c r="D30" s="476"/>
      <c r="E30" s="553"/>
      <c r="F30" s="554"/>
      <c r="G30" s="557"/>
      <c r="H30" s="558"/>
      <c r="I30" s="558"/>
      <c r="J30" s="485"/>
      <c r="K30" s="477"/>
      <c r="L30" s="477"/>
      <c r="M30" s="486"/>
      <c r="N30" s="487"/>
      <c r="O30" s="477"/>
      <c r="P30" s="480"/>
      <c r="Q30" s="481"/>
      <c r="R30" s="461"/>
      <c r="S30" s="461"/>
      <c r="T30" s="461"/>
      <c r="U30" s="461"/>
      <c r="V30" s="461"/>
      <c r="W30" s="461"/>
      <c r="X30" s="461"/>
      <c r="Y30" s="461"/>
    </row>
    <row r="31" spans="1:25">
      <c r="A31" s="476"/>
      <c r="B31" s="476"/>
      <c r="C31" s="476"/>
      <c r="D31" s="476"/>
      <c r="E31" s="553"/>
      <c r="F31" s="554"/>
      <c r="G31" s="557"/>
      <c r="H31" s="558"/>
      <c r="I31" s="558"/>
      <c r="J31" s="485"/>
      <c r="K31" s="477"/>
      <c r="L31" s="477"/>
      <c r="M31" s="486"/>
      <c r="N31" s="487"/>
      <c r="O31" s="477"/>
      <c r="P31" s="480"/>
      <c r="Q31" s="481"/>
      <c r="R31" s="461"/>
      <c r="S31" s="461"/>
      <c r="T31" s="461"/>
      <c r="U31" s="461"/>
      <c r="V31" s="461"/>
      <c r="W31" s="461"/>
      <c r="X31" s="461"/>
      <c r="Y31" s="461"/>
    </row>
    <row r="32" spans="1:25">
      <c r="A32" s="476"/>
      <c r="B32" s="476"/>
      <c r="C32" s="476"/>
      <c r="D32" s="476"/>
      <c r="E32" s="553"/>
      <c r="F32" s="554"/>
      <c r="G32" s="557"/>
      <c r="H32" s="558"/>
      <c r="I32" s="558"/>
      <c r="J32" s="485"/>
      <c r="K32" s="477"/>
      <c r="L32" s="477"/>
      <c r="M32" s="486"/>
      <c r="N32" s="487"/>
      <c r="O32" s="477"/>
      <c r="P32" s="480"/>
      <c r="Q32" s="481"/>
      <c r="R32" s="461"/>
      <c r="S32" s="461"/>
      <c r="T32" s="461"/>
      <c r="U32" s="461"/>
      <c r="V32" s="461"/>
      <c r="W32" s="461"/>
      <c r="X32" s="461"/>
      <c r="Y32" s="461"/>
    </row>
    <row r="33" spans="1:25">
      <c r="A33" s="476"/>
      <c r="B33" s="476"/>
      <c r="C33" s="476"/>
      <c r="D33" s="476"/>
      <c r="E33" s="553"/>
      <c r="F33" s="554"/>
      <c r="G33" s="557"/>
      <c r="H33" s="558"/>
      <c r="I33" s="558"/>
      <c r="J33" s="485"/>
      <c r="K33" s="477"/>
      <c r="L33" s="477"/>
      <c r="M33" s="486"/>
      <c r="N33" s="487"/>
      <c r="O33" s="477"/>
      <c r="P33" s="480"/>
      <c r="Q33" s="481"/>
      <c r="R33" s="461"/>
      <c r="S33" s="461"/>
      <c r="T33" s="461"/>
      <c r="U33" s="461"/>
      <c r="V33" s="461"/>
      <c r="W33" s="461"/>
      <c r="X33" s="461"/>
      <c r="Y33" s="461"/>
    </row>
    <row r="34" spans="1:25">
      <c r="A34" s="476"/>
      <c r="B34" s="476"/>
      <c r="C34" s="476"/>
      <c r="D34" s="476"/>
      <c r="E34" s="553"/>
      <c r="F34" s="554"/>
      <c r="G34" s="557"/>
      <c r="H34" s="558"/>
      <c r="I34" s="558"/>
      <c r="J34" s="485"/>
      <c r="K34" s="477"/>
      <c r="L34" s="477"/>
      <c r="M34" s="486"/>
      <c r="N34" s="487"/>
      <c r="O34" s="477"/>
      <c r="P34" s="480"/>
      <c r="Q34" s="481"/>
      <c r="R34" s="461"/>
      <c r="S34" s="461"/>
      <c r="T34" s="461"/>
      <c r="U34" s="461"/>
      <c r="V34" s="461"/>
      <c r="W34" s="461"/>
      <c r="X34" s="461"/>
      <c r="Y34" s="461"/>
    </row>
    <row r="35" spans="1:25">
      <c r="A35" s="476"/>
      <c r="B35" s="476"/>
      <c r="C35" s="476"/>
      <c r="D35" s="476"/>
      <c r="E35" s="553"/>
      <c r="F35" s="554"/>
      <c r="G35" s="557"/>
      <c r="H35" s="558"/>
      <c r="I35" s="558"/>
      <c r="J35" s="485"/>
      <c r="K35" s="477"/>
      <c r="L35" s="477"/>
      <c r="M35" s="486"/>
      <c r="N35" s="487"/>
      <c r="O35" s="477"/>
      <c r="P35" s="480"/>
      <c r="Q35" s="481"/>
      <c r="R35" s="461"/>
      <c r="S35" s="461"/>
      <c r="T35" s="461"/>
      <c r="U35" s="461"/>
      <c r="V35" s="461"/>
      <c r="W35" s="461"/>
      <c r="X35" s="461"/>
      <c r="Y35" s="461"/>
    </row>
    <row r="36" spans="1:25">
      <c r="A36" s="476"/>
      <c r="B36" s="476"/>
      <c r="C36" s="476"/>
      <c r="D36" s="476"/>
      <c r="E36" s="488" t="s">
        <v>22</v>
      </c>
      <c r="F36" s="489"/>
      <c r="G36" s="490"/>
      <c r="H36" s="491"/>
      <c r="I36" s="492"/>
      <c r="J36" s="493">
        <f>SUM(J7:J35)</f>
        <v>1802.5839321035171</v>
      </c>
      <c r="K36" s="492"/>
      <c r="L36" s="494"/>
      <c r="M36" s="489">
        <f>SUM(M7:M35)</f>
        <v>1245.6728502383473</v>
      </c>
      <c r="N36" s="476"/>
      <c r="O36" s="476"/>
      <c r="P36" s="476"/>
      <c r="Q36" s="476"/>
      <c r="R36" s="461"/>
      <c r="S36" s="461"/>
      <c r="T36" s="461"/>
      <c r="U36" s="461"/>
      <c r="V36" s="461"/>
      <c r="W36" s="461"/>
      <c r="X36" s="461"/>
      <c r="Y36" s="461"/>
    </row>
    <row r="37" spans="1:25">
      <c r="A37" s="476"/>
      <c r="B37" s="476"/>
      <c r="C37" s="476"/>
      <c r="D37" s="476"/>
      <c r="E37" s="501" t="s">
        <v>148</v>
      </c>
      <c r="F37" s="489"/>
      <c r="G37" s="490"/>
      <c r="H37" s="491"/>
      <c r="I37" s="492"/>
      <c r="J37" s="500">
        <f>J36-'Total actual RAB roll forward'!T358</f>
        <v>0</v>
      </c>
      <c r="K37" s="492"/>
      <c r="L37" s="494"/>
      <c r="M37" s="500">
        <f>M36-'PTRM Tax Inputs'!E33</f>
        <v>0</v>
      </c>
      <c r="N37" s="476"/>
      <c r="O37" s="476"/>
      <c r="P37" s="476"/>
      <c r="Q37" s="476"/>
      <c r="R37" s="461"/>
      <c r="S37" s="461"/>
      <c r="T37" s="461"/>
      <c r="U37" s="461"/>
      <c r="V37" s="461"/>
      <c r="W37" s="461"/>
      <c r="X37" s="461"/>
      <c r="Y37" s="461"/>
    </row>
    <row r="38" spans="1:25">
      <c r="A38" s="476"/>
      <c r="B38" s="476"/>
      <c r="C38" s="476"/>
      <c r="D38" s="476"/>
      <c r="E38" s="489"/>
      <c r="F38" s="489"/>
      <c r="G38" s="490"/>
      <c r="H38" s="491"/>
      <c r="I38" s="492"/>
      <c r="J38" s="492"/>
      <c r="K38" s="492"/>
      <c r="L38" s="494"/>
      <c r="M38" s="476"/>
      <c r="N38" s="476"/>
      <c r="O38" s="476"/>
      <c r="P38" s="476"/>
      <c r="Q38" s="476"/>
      <c r="R38" s="461"/>
      <c r="S38" s="461"/>
      <c r="T38" s="461"/>
      <c r="U38" s="461"/>
      <c r="V38" s="461"/>
      <c r="W38" s="461"/>
      <c r="X38" s="461"/>
      <c r="Y38" s="461"/>
    </row>
    <row r="39" spans="1:25">
      <c r="A39" s="476"/>
      <c r="B39" s="476"/>
      <c r="C39" s="476"/>
      <c r="D39" s="476"/>
      <c r="E39" s="489"/>
      <c r="F39" s="489"/>
      <c r="G39" s="490"/>
      <c r="H39" s="491"/>
      <c r="I39" s="492"/>
      <c r="J39" s="492"/>
      <c r="K39" s="492"/>
      <c r="L39" s="494"/>
      <c r="M39" s="476"/>
      <c r="N39" s="476"/>
      <c r="O39" s="476"/>
      <c r="P39" s="476"/>
      <c r="Q39" s="476"/>
      <c r="R39" s="461"/>
      <c r="S39" s="461"/>
      <c r="T39" s="461"/>
      <c r="U39" s="461"/>
      <c r="V39" s="461"/>
      <c r="W39" s="461"/>
      <c r="X39" s="461"/>
      <c r="Y39" s="461"/>
    </row>
    <row r="40" spans="1:25">
      <c r="A40" s="476"/>
      <c r="B40" s="476"/>
      <c r="C40" s="476"/>
      <c r="D40" s="476"/>
      <c r="E40" s="489"/>
      <c r="F40" s="489"/>
      <c r="G40" s="490"/>
      <c r="H40" s="491"/>
      <c r="I40" s="492"/>
      <c r="J40" s="492"/>
      <c r="K40" s="492"/>
      <c r="L40" s="494"/>
      <c r="M40" s="476"/>
      <c r="N40" s="476"/>
      <c r="O40" s="476"/>
      <c r="P40" s="476"/>
      <c r="Q40" s="476"/>
      <c r="R40" s="461"/>
      <c r="S40" s="461"/>
      <c r="T40" s="461"/>
      <c r="U40" s="461"/>
      <c r="V40" s="461"/>
      <c r="W40" s="461"/>
      <c r="X40" s="461"/>
      <c r="Y40" s="461"/>
    </row>
    <row r="41" spans="1:25">
      <c r="A41" s="476"/>
      <c r="B41" s="476"/>
      <c r="C41" s="476"/>
      <c r="D41" s="476"/>
      <c r="E41" s="489"/>
      <c r="F41" s="489"/>
      <c r="G41" s="490"/>
      <c r="H41" s="491"/>
      <c r="I41" s="492"/>
      <c r="J41" s="492"/>
      <c r="K41" s="492"/>
      <c r="L41" s="494"/>
      <c r="M41" s="476"/>
      <c r="N41" s="476"/>
      <c r="O41" s="476"/>
      <c r="P41" s="476"/>
      <c r="Q41" s="476"/>
      <c r="R41" s="461"/>
      <c r="S41" s="461"/>
      <c r="T41" s="461"/>
      <c r="U41" s="461"/>
      <c r="V41" s="461"/>
      <c r="W41" s="461"/>
      <c r="X41" s="461"/>
      <c r="Y41" s="461"/>
    </row>
    <row r="42" spans="1:25">
      <c r="A42" s="476"/>
      <c r="B42" s="476"/>
      <c r="C42" s="476"/>
      <c r="D42" s="476"/>
      <c r="E42" s="489"/>
      <c r="F42" s="489"/>
      <c r="G42" s="490"/>
      <c r="H42" s="491"/>
      <c r="I42" s="492"/>
      <c r="J42" s="492"/>
      <c r="K42" s="492"/>
      <c r="L42" s="494"/>
      <c r="M42" s="476"/>
      <c r="N42" s="476"/>
      <c r="O42" s="476"/>
      <c r="P42" s="476"/>
      <c r="Q42" s="476"/>
      <c r="R42" s="461"/>
      <c r="S42" s="461"/>
      <c r="T42" s="461"/>
      <c r="U42" s="461"/>
      <c r="V42" s="461"/>
      <c r="W42" s="461"/>
      <c r="X42" s="461"/>
      <c r="Y42" s="461"/>
    </row>
    <row r="43" spans="1:25">
      <c r="A43" s="476"/>
      <c r="B43" s="476"/>
      <c r="C43" s="476"/>
      <c r="D43" s="476"/>
      <c r="E43" s="489"/>
      <c r="F43" s="489"/>
      <c r="G43" s="490"/>
      <c r="H43" s="491"/>
      <c r="I43" s="492"/>
      <c r="J43" s="492"/>
      <c r="K43" s="492"/>
      <c r="L43" s="494"/>
      <c r="M43" s="476"/>
      <c r="N43" s="476"/>
      <c r="O43" s="476"/>
      <c r="P43" s="476"/>
      <c r="Q43" s="476"/>
      <c r="R43" s="461"/>
      <c r="S43" s="461"/>
      <c r="T43" s="461"/>
      <c r="U43" s="461"/>
      <c r="V43" s="461"/>
      <c r="W43" s="461"/>
      <c r="X43" s="461"/>
      <c r="Y43" s="461"/>
    </row>
    <row r="44" spans="1:25">
      <c r="A44" s="476"/>
      <c r="B44" s="476"/>
      <c r="C44" s="476"/>
      <c r="D44" s="476"/>
      <c r="E44" s="489"/>
      <c r="F44" s="489"/>
      <c r="G44" s="490"/>
      <c r="H44" s="491"/>
      <c r="I44" s="492"/>
      <c r="J44" s="492"/>
      <c r="K44" s="492"/>
      <c r="L44" s="494"/>
      <c r="M44" s="476"/>
      <c r="N44" s="476"/>
      <c r="O44" s="476"/>
      <c r="P44" s="476"/>
      <c r="Q44" s="476"/>
      <c r="R44" s="461"/>
      <c r="S44" s="461"/>
      <c r="T44" s="461"/>
      <c r="U44" s="461"/>
      <c r="V44" s="461"/>
      <c r="W44" s="461"/>
      <c r="X44" s="461"/>
      <c r="Y44" s="461"/>
    </row>
    <row r="45" spans="1:25">
      <c r="A45" s="476"/>
      <c r="B45" s="476"/>
      <c r="C45" s="476"/>
      <c r="D45" s="476"/>
      <c r="E45" s="489"/>
      <c r="F45" s="489"/>
      <c r="G45" s="490"/>
      <c r="H45" s="491"/>
      <c r="I45" s="492"/>
      <c r="J45" s="492"/>
      <c r="K45" s="492"/>
      <c r="L45" s="494"/>
      <c r="M45" s="476"/>
      <c r="N45" s="476"/>
      <c r="O45" s="476"/>
      <c r="P45" s="476"/>
      <c r="Q45" s="476"/>
      <c r="R45" s="461"/>
      <c r="S45" s="461"/>
      <c r="T45" s="461"/>
      <c r="U45" s="461"/>
      <c r="V45" s="461"/>
      <c r="W45" s="461"/>
      <c r="X45" s="461"/>
      <c r="Y45" s="461"/>
    </row>
    <row r="46" spans="1:25">
      <c r="A46" s="476"/>
      <c r="B46" s="476"/>
      <c r="C46" s="476"/>
      <c r="D46" s="476"/>
      <c r="E46" s="489"/>
      <c r="F46" s="489"/>
      <c r="G46" s="490"/>
      <c r="H46" s="491"/>
      <c r="I46" s="492"/>
      <c r="J46" s="492"/>
      <c r="K46" s="492"/>
      <c r="L46" s="494"/>
      <c r="M46" s="476"/>
      <c r="N46" s="476"/>
      <c r="O46" s="476"/>
      <c r="P46" s="476"/>
      <c r="Q46" s="476"/>
      <c r="R46" s="461"/>
      <c r="S46" s="461"/>
      <c r="T46" s="461"/>
      <c r="U46" s="461"/>
      <c r="V46" s="461"/>
      <c r="W46" s="461"/>
      <c r="X46" s="461"/>
      <c r="Y46" s="461"/>
    </row>
    <row r="47" spans="1:25">
      <c r="A47" s="476"/>
      <c r="B47" s="476"/>
      <c r="C47" s="476"/>
      <c r="D47" s="476"/>
      <c r="E47" s="489"/>
      <c r="F47" s="489"/>
      <c r="G47" s="490"/>
      <c r="H47" s="491"/>
      <c r="I47" s="492"/>
      <c r="J47" s="492"/>
      <c r="K47" s="492"/>
      <c r="L47" s="494"/>
      <c r="M47" s="476"/>
      <c r="N47" s="476"/>
      <c r="O47" s="476"/>
      <c r="P47" s="476"/>
      <c r="Q47" s="476"/>
      <c r="R47" s="461"/>
      <c r="S47" s="461"/>
      <c r="T47" s="461"/>
      <c r="U47" s="461"/>
      <c r="V47" s="461"/>
      <c r="W47" s="461"/>
      <c r="X47" s="461"/>
      <c r="Y47" s="461"/>
    </row>
    <row r="48" spans="1:25">
      <c r="A48" s="476"/>
      <c r="B48" s="476"/>
      <c r="C48" s="476"/>
      <c r="D48" s="476"/>
      <c r="E48" s="489"/>
      <c r="F48" s="489"/>
      <c r="G48" s="490"/>
      <c r="H48" s="491"/>
      <c r="I48" s="492"/>
      <c r="J48" s="492"/>
      <c r="K48" s="492"/>
      <c r="L48" s="494"/>
      <c r="M48" s="476"/>
      <c r="N48" s="476"/>
      <c r="O48" s="476"/>
      <c r="P48" s="476"/>
      <c r="Q48" s="476"/>
      <c r="R48" s="461"/>
      <c r="S48" s="461"/>
      <c r="T48" s="461"/>
      <c r="U48" s="461"/>
      <c r="V48" s="461"/>
      <c r="W48" s="461"/>
      <c r="X48" s="461"/>
      <c r="Y48" s="461"/>
    </row>
    <row r="49" spans="1:25">
      <c r="A49" s="476"/>
      <c r="B49" s="476"/>
      <c r="C49" s="476"/>
      <c r="D49" s="476"/>
      <c r="E49" s="489"/>
      <c r="F49" s="489"/>
      <c r="G49" s="490"/>
      <c r="H49" s="491"/>
      <c r="I49" s="492"/>
      <c r="J49" s="492"/>
      <c r="K49" s="492"/>
      <c r="L49" s="494"/>
      <c r="M49" s="476"/>
      <c r="N49" s="476"/>
      <c r="O49" s="476"/>
      <c r="P49" s="476"/>
      <c r="Q49" s="476"/>
      <c r="R49" s="461"/>
      <c r="S49" s="461"/>
      <c r="T49" s="461"/>
      <c r="U49" s="461"/>
      <c r="V49" s="461"/>
      <c r="W49" s="461"/>
      <c r="X49" s="461"/>
      <c r="Y49" s="461"/>
    </row>
    <row r="50" spans="1:25">
      <c r="A50" s="476"/>
      <c r="B50" s="476"/>
      <c r="C50" s="476"/>
      <c r="D50" s="476"/>
      <c r="E50" s="489"/>
      <c r="F50" s="489"/>
      <c r="G50" s="490"/>
      <c r="H50" s="491"/>
      <c r="I50" s="492"/>
      <c r="J50" s="492"/>
      <c r="K50" s="492"/>
      <c r="L50" s="494"/>
      <c r="M50" s="476"/>
      <c r="N50" s="476"/>
      <c r="O50" s="476"/>
      <c r="P50" s="476"/>
      <c r="Q50" s="476"/>
      <c r="R50" s="461"/>
      <c r="S50" s="461"/>
      <c r="T50" s="461"/>
      <c r="U50" s="461"/>
      <c r="V50" s="461"/>
      <c r="W50" s="461"/>
      <c r="X50" s="461"/>
      <c r="Y50" s="461"/>
    </row>
    <row r="51" spans="1:25">
      <c r="A51" s="476"/>
      <c r="B51" s="476"/>
      <c r="C51" s="476"/>
      <c r="D51" s="476"/>
      <c r="E51" s="489"/>
      <c r="F51" s="489"/>
      <c r="G51" s="490"/>
      <c r="H51" s="491"/>
      <c r="I51" s="492"/>
      <c r="J51" s="492"/>
      <c r="K51" s="492"/>
      <c r="L51" s="494"/>
      <c r="M51" s="476"/>
      <c r="N51" s="476"/>
      <c r="O51" s="476"/>
      <c r="P51" s="476"/>
      <c r="Q51" s="476"/>
      <c r="R51" s="461"/>
      <c r="S51" s="461"/>
      <c r="T51" s="461"/>
      <c r="U51" s="461"/>
      <c r="V51" s="461"/>
      <c r="W51" s="461"/>
      <c r="X51" s="461"/>
      <c r="Y51" s="461"/>
    </row>
    <row r="52" spans="1:25">
      <c r="A52" s="476"/>
      <c r="B52" s="476"/>
      <c r="C52" s="476"/>
      <c r="D52" s="476"/>
      <c r="E52" s="489"/>
      <c r="F52" s="489"/>
      <c r="G52" s="490"/>
      <c r="H52" s="491"/>
      <c r="I52" s="492"/>
      <c r="J52" s="492"/>
      <c r="K52" s="492"/>
      <c r="L52" s="494"/>
      <c r="M52" s="476"/>
      <c r="N52" s="476"/>
      <c r="O52" s="476"/>
      <c r="P52" s="476"/>
      <c r="Q52" s="476"/>
      <c r="R52" s="461"/>
      <c r="S52" s="461"/>
      <c r="T52" s="461"/>
      <c r="U52" s="461"/>
      <c r="V52" s="461"/>
      <c r="W52" s="461"/>
      <c r="X52" s="461"/>
      <c r="Y52" s="461"/>
    </row>
    <row r="53" spans="1:25">
      <c r="A53" s="476"/>
      <c r="B53" s="476"/>
      <c r="C53" s="476"/>
      <c r="D53" s="476"/>
      <c r="E53" s="489"/>
      <c r="F53" s="489"/>
      <c r="G53" s="490"/>
      <c r="H53" s="491"/>
      <c r="I53" s="492"/>
      <c r="J53" s="492"/>
      <c r="K53" s="492"/>
      <c r="L53" s="494"/>
      <c r="M53" s="476"/>
      <c r="N53" s="476"/>
      <c r="O53" s="476"/>
      <c r="P53" s="476"/>
      <c r="Q53" s="476"/>
      <c r="R53" s="461"/>
      <c r="S53" s="461"/>
      <c r="T53" s="461"/>
      <c r="U53" s="461"/>
      <c r="V53" s="461"/>
      <c r="W53" s="461"/>
      <c r="X53" s="461"/>
      <c r="Y53" s="461"/>
    </row>
    <row r="54" spans="1:25">
      <c r="A54" s="476"/>
      <c r="B54" s="476"/>
      <c r="C54" s="476"/>
      <c r="D54" s="476"/>
      <c r="E54" s="489"/>
      <c r="F54" s="489"/>
      <c r="G54" s="490"/>
      <c r="H54" s="491"/>
      <c r="I54" s="492"/>
      <c r="J54" s="492"/>
      <c r="K54" s="492"/>
      <c r="L54" s="494"/>
      <c r="M54" s="476"/>
      <c r="N54" s="476"/>
      <c r="O54" s="476"/>
      <c r="P54" s="476"/>
      <c r="Q54" s="476"/>
      <c r="R54" s="461"/>
      <c r="S54" s="461"/>
      <c r="T54" s="461"/>
      <c r="U54" s="461"/>
      <c r="V54" s="461"/>
      <c r="W54" s="461"/>
      <c r="X54" s="461"/>
      <c r="Y54" s="461"/>
    </row>
    <row r="55" spans="1:25">
      <c r="A55" s="476"/>
      <c r="B55" s="476"/>
      <c r="C55" s="476"/>
      <c r="D55" s="476"/>
      <c r="E55" s="489"/>
      <c r="F55" s="489"/>
      <c r="G55" s="490"/>
      <c r="H55" s="491"/>
      <c r="I55" s="492"/>
      <c r="J55" s="492"/>
      <c r="K55" s="492"/>
      <c r="L55" s="494"/>
      <c r="M55" s="476"/>
      <c r="N55" s="476"/>
      <c r="O55" s="476"/>
      <c r="P55" s="476"/>
      <c r="Q55" s="476"/>
      <c r="R55" s="461"/>
      <c r="S55" s="461"/>
      <c r="T55" s="461"/>
      <c r="U55" s="461"/>
      <c r="V55" s="461"/>
      <c r="W55" s="461"/>
      <c r="X55" s="461"/>
      <c r="Y55" s="461"/>
    </row>
    <row r="56" spans="1:25">
      <c r="A56" s="476"/>
      <c r="B56" s="476"/>
      <c r="C56" s="476"/>
      <c r="D56" s="476"/>
      <c r="E56" s="489"/>
      <c r="F56" s="489"/>
      <c r="G56" s="490"/>
      <c r="H56" s="491"/>
      <c r="I56" s="492"/>
      <c r="J56" s="492"/>
      <c r="K56" s="492"/>
      <c r="L56" s="494"/>
      <c r="M56" s="476"/>
      <c r="N56" s="476"/>
      <c r="O56" s="476"/>
      <c r="P56" s="476"/>
      <c r="Q56" s="476"/>
      <c r="R56" s="461"/>
      <c r="S56" s="461"/>
      <c r="T56" s="461"/>
      <c r="U56" s="461"/>
      <c r="V56" s="461"/>
      <c r="W56" s="461"/>
      <c r="X56" s="461"/>
      <c r="Y56" s="461"/>
    </row>
    <row r="57" spans="1:25">
      <c r="A57" s="476"/>
      <c r="B57" s="476"/>
      <c r="C57" s="476"/>
      <c r="D57" s="476"/>
      <c r="E57" s="489"/>
      <c r="F57" s="489"/>
      <c r="G57" s="490"/>
      <c r="H57" s="491"/>
      <c r="I57" s="492"/>
      <c r="J57" s="492"/>
      <c r="K57" s="492"/>
      <c r="L57" s="494"/>
      <c r="M57" s="476"/>
      <c r="N57" s="476"/>
      <c r="O57" s="476"/>
      <c r="P57" s="476"/>
      <c r="Q57" s="476"/>
      <c r="R57" s="461"/>
      <c r="S57" s="461"/>
      <c r="T57" s="461"/>
      <c r="U57" s="461"/>
      <c r="V57" s="461"/>
      <c r="W57" s="461"/>
      <c r="X57" s="461"/>
      <c r="Y57" s="461"/>
    </row>
    <row r="58" spans="1:25">
      <c r="A58" s="476"/>
      <c r="B58" s="476"/>
      <c r="C58" s="476"/>
      <c r="D58" s="476"/>
      <c r="E58" s="489"/>
      <c r="F58" s="489"/>
      <c r="G58" s="490"/>
      <c r="H58" s="491"/>
      <c r="I58" s="492"/>
      <c r="J58" s="492"/>
      <c r="K58" s="492"/>
      <c r="L58" s="494"/>
      <c r="M58" s="476"/>
      <c r="N58" s="476"/>
      <c r="O58" s="476"/>
      <c r="P58" s="476"/>
      <c r="Q58" s="476"/>
      <c r="R58" s="461"/>
      <c r="S58" s="461"/>
      <c r="T58" s="461"/>
      <c r="U58" s="461"/>
      <c r="V58" s="461"/>
      <c r="W58" s="461"/>
      <c r="X58" s="461"/>
      <c r="Y58" s="461"/>
    </row>
    <row r="59" spans="1:25">
      <c r="A59" s="476"/>
      <c r="B59" s="476"/>
      <c r="C59" s="476"/>
      <c r="D59" s="476"/>
      <c r="E59" s="489"/>
      <c r="F59" s="489"/>
      <c r="G59" s="490"/>
      <c r="H59" s="491"/>
      <c r="I59" s="492"/>
      <c r="J59" s="492"/>
      <c r="K59" s="492"/>
      <c r="L59" s="494"/>
      <c r="M59" s="476"/>
      <c r="N59" s="476"/>
      <c r="O59" s="476"/>
      <c r="P59" s="476"/>
      <c r="Q59" s="476"/>
      <c r="R59" s="461"/>
      <c r="S59" s="461"/>
      <c r="T59" s="461"/>
      <c r="U59" s="461"/>
      <c r="V59" s="461"/>
      <c r="W59" s="461"/>
      <c r="X59" s="461"/>
      <c r="Y59" s="461"/>
    </row>
    <row r="60" spans="1:25">
      <c r="A60" s="476"/>
      <c r="B60" s="476"/>
      <c r="C60" s="476"/>
      <c r="D60" s="476"/>
      <c r="E60" s="489"/>
      <c r="F60" s="489"/>
      <c r="G60" s="490"/>
      <c r="H60" s="491"/>
      <c r="I60" s="492"/>
      <c r="J60" s="492"/>
      <c r="K60" s="492"/>
      <c r="L60" s="494"/>
      <c r="M60" s="476"/>
      <c r="N60" s="476"/>
      <c r="O60" s="476"/>
      <c r="P60" s="476"/>
      <c r="Q60" s="476"/>
      <c r="R60" s="461"/>
      <c r="S60" s="461"/>
      <c r="T60" s="461"/>
      <c r="U60" s="461"/>
      <c r="V60" s="461"/>
      <c r="W60" s="461"/>
      <c r="X60" s="461"/>
      <c r="Y60" s="461"/>
    </row>
    <row r="61" spans="1:25">
      <c r="A61" s="476"/>
      <c r="B61" s="476"/>
      <c r="C61" s="476"/>
      <c r="D61" s="476"/>
      <c r="E61" s="489"/>
      <c r="F61" s="489"/>
      <c r="G61" s="490"/>
      <c r="H61" s="491"/>
      <c r="I61" s="492"/>
      <c r="J61" s="492"/>
      <c r="K61" s="492"/>
      <c r="L61" s="494"/>
      <c r="M61" s="476"/>
      <c r="N61" s="476"/>
      <c r="O61" s="476"/>
      <c r="P61" s="476"/>
      <c r="Q61" s="476"/>
      <c r="R61" s="461"/>
      <c r="S61" s="461"/>
      <c r="T61" s="461"/>
      <c r="U61" s="461"/>
      <c r="V61" s="461"/>
      <c r="W61" s="461"/>
      <c r="X61" s="461"/>
      <c r="Y61" s="461"/>
    </row>
    <row r="62" spans="1:25">
      <c r="A62" s="476"/>
      <c r="B62" s="476"/>
      <c r="C62" s="476"/>
      <c r="D62" s="476"/>
      <c r="E62" s="489"/>
      <c r="F62" s="489"/>
      <c r="G62" s="490"/>
      <c r="H62" s="491"/>
      <c r="I62" s="492"/>
      <c r="J62" s="492"/>
      <c r="K62" s="492"/>
      <c r="L62" s="494"/>
      <c r="M62" s="476"/>
      <c r="N62" s="476"/>
      <c r="O62" s="476"/>
      <c r="P62" s="476"/>
      <c r="Q62" s="476"/>
      <c r="R62" s="461"/>
      <c r="S62" s="461"/>
      <c r="T62" s="461"/>
      <c r="U62" s="461"/>
      <c r="V62" s="461"/>
      <c r="W62" s="461"/>
      <c r="X62" s="461"/>
      <c r="Y62" s="461"/>
    </row>
    <row r="63" spans="1:25">
      <c r="A63" s="476"/>
      <c r="B63" s="476"/>
      <c r="C63" s="476"/>
      <c r="D63" s="476"/>
      <c r="E63" s="489"/>
      <c r="F63" s="489"/>
      <c r="G63" s="490"/>
      <c r="H63" s="491"/>
      <c r="I63" s="492"/>
      <c r="J63" s="492"/>
      <c r="K63" s="492"/>
      <c r="L63" s="494"/>
      <c r="M63" s="476"/>
      <c r="N63" s="476"/>
      <c r="O63" s="476"/>
      <c r="P63" s="476"/>
      <c r="Q63" s="476"/>
      <c r="R63" s="461"/>
      <c r="S63" s="461"/>
      <c r="T63" s="461"/>
      <c r="U63" s="461"/>
      <c r="V63" s="461"/>
      <c r="W63" s="461"/>
      <c r="X63" s="461"/>
      <c r="Y63" s="461"/>
    </row>
    <row r="64" spans="1:25">
      <c r="A64" s="476"/>
      <c r="B64" s="476"/>
      <c r="C64" s="476"/>
      <c r="D64" s="476"/>
      <c r="E64" s="489"/>
      <c r="F64" s="489"/>
      <c r="G64" s="490"/>
      <c r="H64" s="491"/>
      <c r="I64" s="492"/>
      <c r="J64" s="492"/>
      <c r="K64" s="492"/>
      <c r="L64" s="494"/>
      <c r="M64" s="476"/>
      <c r="N64" s="476"/>
      <c r="O64" s="476"/>
      <c r="P64" s="476"/>
      <c r="Q64" s="476"/>
      <c r="R64" s="461"/>
      <c r="S64" s="461"/>
      <c r="T64" s="461"/>
      <c r="U64" s="461"/>
      <c r="V64" s="461"/>
      <c r="W64" s="461"/>
      <c r="X64" s="461"/>
      <c r="Y64" s="461"/>
    </row>
    <row r="65" spans="1:25">
      <c r="A65" s="476"/>
      <c r="B65" s="476"/>
      <c r="C65" s="476"/>
      <c r="D65" s="476"/>
      <c r="E65" s="489"/>
      <c r="F65" s="489"/>
      <c r="G65" s="490"/>
      <c r="H65" s="491"/>
      <c r="I65" s="492"/>
      <c r="J65" s="492"/>
      <c r="K65" s="492"/>
      <c r="L65" s="494"/>
      <c r="M65" s="476"/>
      <c r="N65" s="476"/>
      <c r="O65" s="476"/>
      <c r="P65" s="476"/>
      <c r="Q65" s="476"/>
      <c r="R65" s="461"/>
      <c r="S65" s="461"/>
      <c r="T65" s="461"/>
      <c r="U65" s="461"/>
      <c r="V65" s="461"/>
      <c r="W65" s="461"/>
      <c r="X65" s="461"/>
      <c r="Y65" s="461"/>
    </row>
    <row r="66" spans="1:25">
      <c r="A66" s="476"/>
      <c r="B66" s="476"/>
      <c r="C66" s="476"/>
      <c r="D66" s="476"/>
      <c r="E66" s="489"/>
      <c r="F66" s="489"/>
      <c r="G66" s="490"/>
      <c r="H66" s="491"/>
      <c r="I66" s="492"/>
      <c r="J66" s="492"/>
      <c r="K66" s="492"/>
      <c r="L66" s="494"/>
      <c r="M66" s="476"/>
      <c r="N66" s="476"/>
      <c r="O66" s="476"/>
      <c r="P66" s="476"/>
      <c r="Q66" s="476"/>
      <c r="R66" s="461"/>
      <c r="S66" s="461"/>
      <c r="T66" s="461"/>
      <c r="U66" s="461"/>
      <c r="V66" s="461"/>
      <c r="W66" s="461"/>
      <c r="X66" s="461"/>
      <c r="Y66" s="461"/>
    </row>
    <row r="67" spans="1:25">
      <c r="A67" s="476"/>
      <c r="B67" s="476"/>
      <c r="C67" s="476"/>
      <c r="D67" s="476"/>
      <c r="E67" s="489"/>
      <c r="F67" s="489"/>
      <c r="G67" s="490"/>
      <c r="H67" s="491"/>
      <c r="I67" s="492"/>
      <c r="J67" s="492"/>
      <c r="K67" s="492"/>
      <c r="L67" s="494"/>
      <c r="M67" s="476"/>
      <c r="N67" s="476"/>
      <c r="O67" s="476"/>
      <c r="P67" s="476"/>
      <c r="Q67" s="476"/>
      <c r="R67" s="461"/>
      <c r="S67" s="461"/>
      <c r="T67" s="461"/>
      <c r="U67" s="461"/>
      <c r="V67" s="461"/>
      <c r="W67" s="461"/>
      <c r="X67" s="461"/>
      <c r="Y67" s="461"/>
    </row>
    <row r="68" spans="1:25">
      <c r="A68" s="476"/>
      <c r="B68" s="476"/>
      <c r="C68" s="476"/>
      <c r="D68" s="476"/>
      <c r="E68" s="489"/>
      <c r="F68" s="489"/>
      <c r="G68" s="490"/>
      <c r="H68" s="491"/>
      <c r="I68" s="492"/>
      <c r="J68" s="492"/>
      <c r="K68" s="492"/>
      <c r="L68" s="494"/>
      <c r="M68" s="476"/>
      <c r="N68" s="476"/>
      <c r="O68" s="476"/>
      <c r="P68" s="476"/>
      <c r="Q68" s="476"/>
      <c r="R68" s="461"/>
      <c r="S68" s="461"/>
      <c r="T68" s="461"/>
      <c r="U68" s="461"/>
      <c r="V68" s="461"/>
      <c r="W68" s="461"/>
      <c r="X68" s="461"/>
      <c r="Y68" s="461"/>
    </row>
    <row r="69" spans="1:25">
      <c r="A69" s="476"/>
      <c r="B69" s="476"/>
      <c r="C69" s="476"/>
      <c r="D69" s="476"/>
      <c r="E69" s="489"/>
      <c r="F69" s="489"/>
      <c r="G69" s="490"/>
      <c r="H69" s="491"/>
      <c r="I69" s="492"/>
      <c r="J69" s="492"/>
      <c r="K69" s="492"/>
      <c r="L69" s="494"/>
      <c r="M69" s="476"/>
      <c r="N69" s="476"/>
      <c r="O69" s="476"/>
      <c r="P69" s="476"/>
      <c r="Q69" s="476"/>
      <c r="R69" s="461"/>
      <c r="S69" s="461"/>
      <c r="T69" s="461"/>
      <c r="U69" s="461"/>
      <c r="V69" s="461"/>
      <c r="W69" s="461"/>
      <c r="X69" s="461"/>
      <c r="Y69" s="461"/>
    </row>
    <row r="70" spans="1:25">
      <c r="A70" s="476"/>
      <c r="B70" s="476"/>
      <c r="C70" s="476"/>
      <c r="D70" s="476"/>
      <c r="E70" s="489"/>
      <c r="F70" s="489"/>
      <c r="G70" s="490"/>
      <c r="H70" s="491"/>
      <c r="I70" s="492"/>
      <c r="J70" s="492"/>
      <c r="K70" s="492"/>
      <c r="L70" s="494"/>
      <c r="M70" s="476"/>
      <c r="N70" s="476"/>
      <c r="O70" s="476"/>
      <c r="P70" s="476"/>
      <c r="Q70" s="476"/>
      <c r="R70" s="461"/>
      <c r="S70" s="461"/>
      <c r="T70" s="461"/>
      <c r="U70" s="461"/>
      <c r="V70" s="461"/>
      <c r="W70" s="461"/>
      <c r="X70" s="461"/>
      <c r="Y70" s="461"/>
    </row>
    <row r="71" spans="1:25">
      <c r="A71" s="476"/>
      <c r="B71" s="476"/>
      <c r="C71" s="476"/>
      <c r="D71" s="476"/>
      <c r="E71" s="489"/>
      <c r="F71" s="489"/>
      <c r="G71" s="490"/>
      <c r="H71" s="491"/>
      <c r="I71" s="492"/>
      <c r="J71" s="492"/>
      <c r="K71" s="492"/>
      <c r="L71" s="494"/>
      <c r="M71" s="476"/>
      <c r="N71" s="476"/>
      <c r="O71" s="476"/>
      <c r="P71" s="476"/>
      <c r="Q71" s="476"/>
      <c r="R71" s="461"/>
      <c r="S71" s="461"/>
      <c r="T71" s="461"/>
      <c r="U71" s="461"/>
      <c r="V71" s="461"/>
      <c r="W71" s="461"/>
      <c r="X71" s="461"/>
      <c r="Y71" s="461"/>
    </row>
    <row r="72" spans="1:25">
      <c r="A72" s="476"/>
      <c r="B72" s="476"/>
      <c r="C72" s="476"/>
      <c r="D72" s="476"/>
      <c r="E72" s="489"/>
      <c r="F72" s="489"/>
      <c r="G72" s="490"/>
      <c r="H72" s="491"/>
      <c r="I72" s="492"/>
      <c r="J72" s="492"/>
      <c r="K72" s="492"/>
      <c r="L72" s="494"/>
      <c r="M72" s="476"/>
      <c r="N72" s="476"/>
      <c r="O72" s="476"/>
      <c r="P72" s="476"/>
      <c r="Q72" s="476"/>
      <c r="R72" s="461"/>
      <c r="S72" s="461"/>
      <c r="T72" s="461"/>
      <c r="U72" s="461"/>
      <c r="V72" s="461"/>
      <c r="W72" s="461"/>
      <c r="X72" s="461"/>
      <c r="Y72" s="461"/>
    </row>
    <row r="73" spans="1:25">
      <c r="A73" s="476"/>
      <c r="B73" s="476"/>
      <c r="C73" s="476"/>
      <c r="D73" s="476"/>
      <c r="E73" s="489"/>
      <c r="F73" s="489"/>
      <c r="G73" s="490"/>
      <c r="H73" s="491"/>
      <c r="I73" s="492"/>
      <c r="J73" s="492"/>
      <c r="K73" s="492"/>
      <c r="L73" s="494"/>
      <c r="M73" s="476"/>
      <c r="N73" s="476"/>
      <c r="O73" s="476"/>
      <c r="P73" s="476"/>
      <c r="Q73" s="476"/>
      <c r="R73" s="461"/>
      <c r="S73" s="461"/>
      <c r="T73" s="461"/>
      <c r="U73" s="461"/>
      <c r="V73" s="461"/>
      <c r="W73" s="461"/>
      <c r="X73" s="461"/>
      <c r="Y73" s="461"/>
    </row>
    <row r="74" spans="1:25">
      <c r="A74" s="476"/>
      <c r="B74" s="476"/>
      <c r="C74" s="476"/>
      <c r="D74" s="476"/>
      <c r="E74" s="489"/>
      <c r="F74" s="489"/>
      <c r="G74" s="490"/>
      <c r="H74" s="491"/>
      <c r="I74" s="492"/>
      <c r="J74" s="492"/>
      <c r="K74" s="492"/>
      <c r="L74" s="494"/>
      <c r="M74" s="476"/>
      <c r="N74" s="476"/>
      <c r="O74" s="476"/>
      <c r="P74" s="476"/>
      <c r="Q74" s="476"/>
      <c r="R74" s="461"/>
      <c r="S74" s="461"/>
      <c r="T74" s="461"/>
      <c r="U74" s="461"/>
      <c r="V74" s="461"/>
      <c r="W74" s="461"/>
      <c r="X74" s="461"/>
      <c r="Y74" s="461"/>
    </row>
    <row r="75" spans="1:25">
      <c r="A75" s="476"/>
      <c r="B75" s="476"/>
      <c r="C75" s="476"/>
      <c r="D75" s="476"/>
      <c r="E75" s="489"/>
      <c r="F75" s="489"/>
      <c r="G75" s="490"/>
      <c r="H75" s="491"/>
      <c r="I75" s="492"/>
      <c r="J75" s="492"/>
      <c r="K75" s="492"/>
      <c r="L75" s="494"/>
      <c r="M75" s="476"/>
      <c r="N75" s="476"/>
      <c r="O75" s="476"/>
      <c r="P75" s="476"/>
      <c r="Q75" s="476"/>
      <c r="R75" s="461"/>
      <c r="S75" s="461"/>
      <c r="T75" s="461"/>
      <c r="U75" s="461"/>
      <c r="V75" s="461"/>
      <c r="W75" s="461"/>
      <c r="X75" s="461"/>
      <c r="Y75" s="461"/>
    </row>
    <row r="76" spans="1:25">
      <c r="A76" s="476"/>
      <c r="B76" s="476"/>
      <c r="C76" s="476"/>
      <c r="D76" s="476"/>
      <c r="E76" s="489"/>
      <c r="F76" s="489"/>
      <c r="G76" s="490"/>
      <c r="H76" s="491"/>
      <c r="I76" s="492"/>
      <c r="J76" s="492"/>
      <c r="K76" s="492"/>
      <c r="L76" s="494"/>
      <c r="M76" s="476"/>
      <c r="N76" s="476"/>
      <c r="O76" s="476"/>
      <c r="P76" s="476"/>
      <c r="Q76" s="476"/>
      <c r="R76" s="461"/>
      <c r="S76" s="461"/>
      <c r="T76" s="461"/>
      <c r="U76" s="461"/>
      <c r="V76" s="461"/>
      <c r="W76" s="461"/>
      <c r="X76" s="461"/>
      <c r="Y76" s="461"/>
    </row>
    <row r="77" spans="1:25">
      <c r="A77" s="476"/>
      <c r="B77" s="476"/>
      <c r="C77" s="476"/>
      <c r="D77" s="476"/>
      <c r="E77" s="489"/>
      <c r="F77" s="489"/>
      <c r="G77" s="490"/>
      <c r="H77" s="491"/>
      <c r="I77" s="492"/>
      <c r="J77" s="492"/>
      <c r="K77" s="492"/>
      <c r="L77" s="494"/>
      <c r="M77" s="476"/>
      <c r="N77" s="476"/>
      <c r="O77" s="476"/>
      <c r="P77" s="476"/>
      <c r="Q77" s="476"/>
      <c r="R77" s="461"/>
      <c r="S77" s="461"/>
      <c r="T77" s="461"/>
      <c r="U77" s="461"/>
      <c r="V77" s="461"/>
      <c r="W77" s="461"/>
      <c r="X77" s="461"/>
      <c r="Y77" s="461"/>
    </row>
    <row r="78" spans="1:25">
      <c r="A78" s="476"/>
      <c r="B78" s="476"/>
      <c r="C78" s="476"/>
      <c r="D78" s="476"/>
      <c r="E78" s="489"/>
      <c r="F78" s="489"/>
      <c r="G78" s="490"/>
      <c r="H78" s="491"/>
      <c r="I78" s="492"/>
      <c r="J78" s="492"/>
      <c r="K78" s="492"/>
      <c r="L78" s="494"/>
      <c r="M78" s="476"/>
      <c r="N78" s="476"/>
      <c r="O78" s="476"/>
      <c r="P78" s="476"/>
      <c r="Q78" s="476"/>
      <c r="R78" s="461"/>
      <c r="S78" s="461"/>
      <c r="T78" s="461"/>
      <c r="U78" s="461"/>
      <c r="V78" s="461"/>
      <c r="W78" s="461"/>
      <c r="X78" s="461"/>
      <c r="Y78" s="461"/>
    </row>
    <row r="79" spans="1:25">
      <c r="A79" s="476"/>
      <c r="B79" s="476"/>
      <c r="C79" s="476"/>
      <c r="D79" s="476"/>
      <c r="E79" s="489"/>
      <c r="F79" s="489"/>
      <c r="G79" s="490"/>
      <c r="H79" s="491"/>
      <c r="I79" s="492"/>
      <c r="J79" s="492"/>
      <c r="K79" s="492"/>
      <c r="L79" s="494"/>
      <c r="M79" s="476"/>
      <c r="N79" s="476"/>
      <c r="O79" s="476"/>
      <c r="P79" s="476"/>
      <c r="Q79" s="476"/>
      <c r="R79" s="461"/>
      <c r="S79" s="461"/>
      <c r="T79" s="461"/>
      <c r="U79" s="461"/>
      <c r="V79" s="461"/>
      <c r="W79" s="461"/>
      <c r="X79" s="461"/>
      <c r="Y79" s="461"/>
    </row>
    <row r="80" spans="1:25">
      <c r="A80" s="476"/>
      <c r="B80" s="476"/>
      <c r="C80" s="476"/>
      <c r="D80" s="476"/>
      <c r="E80" s="489"/>
      <c r="F80" s="489"/>
      <c r="G80" s="490"/>
      <c r="H80" s="491"/>
      <c r="I80" s="492"/>
      <c r="J80" s="492"/>
      <c r="K80" s="492"/>
      <c r="L80" s="494"/>
      <c r="M80" s="476"/>
      <c r="N80" s="476"/>
      <c r="O80" s="476"/>
      <c r="P80" s="476"/>
      <c r="Q80" s="476"/>
      <c r="R80" s="461"/>
      <c r="S80" s="461"/>
      <c r="T80" s="461"/>
      <c r="U80" s="461"/>
      <c r="V80" s="461"/>
      <c r="W80" s="461"/>
      <c r="X80" s="461"/>
      <c r="Y80" s="461"/>
    </row>
    <row r="81" spans="1:25">
      <c r="A81" s="476"/>
      <c r="B81" s="476"/>
      <c r="C81" s="476"/>
      <c r="D81" s="476"/>
      <c r="E81" s="489"/>
      <c r="F81" s="489"/>
      <c r="G81" s="490"/>
      <c r="H81" s="491"/>
      <c r="I81" s="492"/>
      <c r="J81" s="492"/>
      <c r="K81" s="492"/>
      <c r="L81" s="494"/>
      <c r="M81" s="476"/>
      <c r="N81" s="476"/>
      <c r="O81" s="476"/>
      <c r="P81" s="476"/>
      <c r="Q81" s="476"/>
      <c r="R81" s="461"/>
      <c r="S81" s="461"/>
      <c r="T81" s="461"/>
      <c r="U81" s="461"/>
      <c r="V81" s="461"/>
      <c r="W81" s="461"/>
      <c r="X81" s="461"/>
      <c r="Y81" s="461"/>
    </row>
    <row r="82" spans="1:25">
      <c r="A82" s="476"/>
      <c r="B82" s="476"/>
      <c r="C82" s="476"/>
      <c r="D82" s="476"/>
      <c r="E82" s="489"/>
      <c r="F82" s="489"/>
      <c r="G82" s="490"/>
      <c r="H82" s="491"/>
      <c r="I82" s="492"/>
      <c r="J82" s="492"/>
      <c r="K82" s="492"/>
      <c r="L82" s="494"/>
      <c r="M82" s="476"/>
      <c r="N82" s="476"/>
      <c r="O82" s="476"/>
      <c r="P82" s="476"/>
      <c r="Q82" s="476"/>
      <c r="R82" s="461"/>
      <c r="S82" s="461"/>
      <c r="T82" s="461"/>
      <c r="U82" s="461"/>
      <c r="V82" s="461"/>
      <c r="W82" s="461"/>
      <c r="X82" s="461"/>
      <c r="Y82" s="461"/>
    </row>
    <row r="83" spans="1:25">
      <c r="A83" s="476"/>
      <c r="B83" s="476"/>
      <c r="C83" s="476"/>
      <c r="D83" s="476"/>
      <c r="E83" s="489"/>
      <c r="F83" s="489"/>
      <c r="G83" s="490"/>
      <c r="H83" s="491"/>
      <c r="I83" s="492"/>
      <c r="J83" s="492"/>
      <c r="K83" s="492"/>
      <c r="L83" s="494"/>
      <c r="M83" s="476"/>
      <c r="N83" s="476"/>
      <c r="O83" s="476"/>
      <c r="P83" s="476"/>
      <c r="Q83" s="476"/>
      <c r="R83" s="461"/>
      <c r="S83" s="461"/>
      <c r="T83" s="461"/>
      <c r="U83" s="461"/>
      <c r="V83" s="461"/>
      <c r="W83" s="461"/>
      <c r="X83" s="461"/>
      <c r="Y83" s="461"/>
    </row>
    <row r="84" spans="1:25">
      <c r="A84" s="476"/>
      <c r="B84" s="476"/>
      <c r="C84" s="476"/>
      <c r="D84" s="476"/>
      <c r="E84" s="489"/>
      <c r="F84" s="489"/>
      <c r="G84" s="490"/>
      <c r="H84" s="491"/>
      <c r="I84" s="492"/>
      <c r="J84" s="492"/>
      <c r="K84" s="492"/>
      <c r="L84" s="494"/>
      <c r="M84" s="476"/>
      <c r="N84" s="476"/>
      <c r="O84" s="476"/>
      <c r="P84" s="476"/>
      <c r="Q84" s="476"/>
      <c r="R84" s="461"/>
      <c r="S84" s="461"/>
      <c r="T84" s="461"/>
      <c r="U84" s="461"/>
      <c r="V84" s="461"/>
      <c r="W84" s="461"/>
      <c r="X84" s="461"/>
      <c r="Y84" s="461"/>
    </row>
    <row r="85" spans="1:25">
      <c r="A85" s="476"/>
      <c r="B85" s="476"/>
      <c r="C85" s="476"/>
      <c r="D85" s="476"/>
      <c r="E85" s="489"/>
      <c r="F85" s="489"/>
      <c r="G85" s="490"/>
      <c r="H85" s="491"/>
      <c r="I85" s="492"/>
      <c r="J85" s="492"/>
      <c r="K85" s="492"/>
      <c r="L85" s="494"/>
      <c r="M85" s="476"/>
      <c r="N85" s="476"/>
      <c r="O85" s="476"/>
      <c r="P85" s="476"/>
      <c r="Q85" s="476"/>
      <c r="R85" s="461"/>
      <c r="S85" s="461"/>
      <c r="T85" s="461"/>
      <c r="U85" s="461"/>
      <c r="V85" s="461"/>
      <c r="W85" s="461"/>
      <c r="X85" s="461"/>
      <c r="Y85" s="461"/>
    </row>
    <row r="86" spans="1:25">
      <c r="A86" s="476"/>
      <c r="B86" s="476"/>
      <c r="C86" s="476"/>
      <c r="D86" s="476"/>
      <c r="E86" s="489"/>
      <c r="F86" s="489"/>
      <c r="G86" s="490"/>
      <c r="H86" s="491"/>
      <c r="I86" s="492"/>
      <c r="J86" s="492"/>
      <c r="K86" s="492"/>
      <c r="L86" s="494"/>
      <c r="M86" s="476"/>
      <c r="N86" s="476"/>
      <c r="O86" s="476"/>
      <c r="P86" s="476"/>
      <c r="Q86" s="476"/>
      <c r="R86" s="461"/>
      <c r="S86" s="461"/>
      <c r="T86" s="461"/>
      <c r="U86" s="461"/>
      <c r="V86" s="461"/>
      <c r="W86" s="461"/>
      <c r="X86" s="461"/>
      <c r="Y86" s="461"/>
    </row>
    <row r="87" spans="1:25">
      <c r="A87" s="476"/>
      <c r="B87" s="476"/>
      <c r="C87" s="476"/>
      <c r="D87" s="476"/>
      <c r="E87" s="489"/>
      <c r="F87" s="489"/>
      <c r="G87" s="490"/>
      <c r="H87" s="491"/>
      <c r="I87" s="492"/>
      <c r="J87" s="492"/>
      <c r="K87" s="492"/>
      <c r="L87" s="494"/>
      <c r="M87" s="476"/>
      <c r="N87" s="476"/>
      <c r="O87" s="476"/>
      <c r="P87" s="476"/>
      <c r="Q87" s="476"/>
      <c r="R87" s="461"/>
      <c r="S87" s="461"/>
      <c r="T87" s="461"/>
      <c r="U87" s="461"/>
      <c r="V87" s="461"/>
      <c r="W87" s="461"/>
      <c r="X87" s="461"/>
      <c r="Y87" s="461"/>
    </row>
    <row r="88" spans="1:25">
      <c r="A88" s="476"/>
      <c r="B88" s="476"/>
      <c r="C88" s="476"/>
      <c r="D88" s="476"/>
      <c r="E88" s="489"/>
      <c r="F88" s="489"/>
      <c r="G88" s="490"/>
      <c r="H88" s="491"/>
      <c r="I88" s="492"/>
      <c r="J88" s="492"/>
      <c r="K88" s="492"/>
      <c r="L88" s="494"/>
      <c r="M88" s="476"/>
      <c r="N88" s="476"/>
      <c r="O88" s="476"/>
      <c r="P88" s="476"/>
      <c r="Q88" s="476"/>
      <c r="R88" s="461"/>
      <c r="S88" s="461"/>
      <c r="T88" s="461"/>
      <c r="U88" s="461"/>
      <c r="V88" s="461"/>
      <c r="W88" s="461"/>
      <c r="X88" s="461"/>
      <c r="Y88" s="461"/>
    </row>
    <row r="89" spans="1:25">
      <c r="A89" s="476"/>
      <c r="B89" s="476"/>
      <c r="C89" s="476"/>
      <c r="D89" s="476"/>
      <c r="E89" s="489"/>
      <c r="F89" s="489"/>
      <c r="G89" s="490"/>
      <c r="H89" s="491"/>
      <c r="I89" s="492"/>
      <c r="J89" s="492"/>
      <c r="K89" s="492"/>
      <c r="L89" s="494"/>
      <c r="M89" s="476"/>
      <c r="N89" s="476"/>
      <c r="O89" s="476"/>
      <c r="P89" s="476"/>
      <c r="Q89" s="476"/>
      <c r="R89" s="461"/>
      <c r="S89" s="461"/>
      <c r="T89" s="461"/>
      <c r="U89" s="461"/>
      <c r="V89" s="461"/>
      <c r="W89" s="461"/>
      <c r="X89" s="461"/>
      <c r="Y89" s="461"/>
    </row>
    <row r="90" spans="1:25">
      <c r="A90" s="476"/>
      <c r="B90" s="476"/>
      <c r="C90" s="476"/>
      <c r="D90" s="476"/>
      <c r="E90" s="489"/>
      <c r="F90" s="489"/>
      <c r="G90" s="490"/>
      <c r="H90" s="491"/>
      <c r="I90" s="492"/>
      <c r="J90" s="492"/>
      <c r="K90" s="492"/>
      <c r="L90" s="494"/>
      <c r="M90" s="476"/>
      <c r="N90" s="476"/>
      <c r="O90" s="476"/>
      <c r="P90" s="476"/>
      <c r="Q90" s="476"/>
      <c r="R90" s="461"/>
      <c r="S90" s="461"/>
      <c r="T90" s="461"/>
      <c r="U90" s="461"/>
      <c r="V90" s="461"/>
      <c r="W90" s="461"/>
      <c r="X90" s="461"/>
      <c r="Y90" s="461"/>
    </row>
    <row r="91" spans="1:25">
      <c r="A91" s="476"/>
      <c r="B91" s="476"/>
      <c r="C91" s="476"/>
      <c r="D91" s="476"/>
      <c r="E91" s="489"/>
      <c r="F91" s="489"/>
      <c r="G91" s="490"/>
      <c r="H91" s="491"/>
      <c r="I91" s="492"/>
      <c r="J91" s="492"/>
      <c r="K91" s="492"/>
      <c r="L91" s="494"/>
      <c r="M91" s="476"/>
      <c r="N91" s="476"/>
      <c r="O91" s="476"/>
      <c r="P91" s="476"/>
      <c r="Q91" s="476"/>
      <c r="R91" s="461"/>
      <c r="S91" s="461"/>
      <c r="T91" s="461"/>
      <c r="U91" s="461"/>
      <c r="V91" s="461"/>
      <c r="W91" s="461"/>
      <c r="X91" s="461"/>
      <c r="Y91" s="461"/>
    </row>
    <row r="92" spans="1:25">
      <c r="A92" s="476"/>
      <c r="B92" s="476"/>
      <c r="C92" s="476"/>
      <c r="D92" s="476"/>
      <c r="E92" s="489"/>
      <c r="F92" s="489"/>
      <c r="G92" s="490"/>
      <c r="H92" s="491"/>
      <c r="I92" s="492"/>
      <c r="J92" s="492"/>
      <c r="K92" s="492"/>
      <c r="L92" s="494"/>
      <c r="M92" s="476"/>
      <c r="N92" s="476"/>
      <c r="O92" s="476"/>
      <c r="P92" s="476"/>
      <c r="Q92" s="476"/>
      <c r="R92" s="461"/>
      <c r="S92" s="461"/>
      <c r="T92" s="461"/>
      <c r="U92" s="461"/>
      <c r="V92" s="461"/>
      <c r="W92" s="461"/>
      <c r="X92" s="461"/>
      <c r="Y92" s="461"/>
    </row>
    <row r="93" spans="1:25">
      <c r="A93" s="476"/>
      <c r="B93" s="476"/>
      <c r="C93" s="476"/>
      <c r="D93" s="476"/>
      <c r="E93" s="489"/>
      <c r="F93" s="489"/>
      <c r="G93" s="490"/>
      <c r="H93" s="491"/>
      <c r="I93" s="492"/>
      <c r="J93" s="492"/>
      <c r="K93" s="492"/>
      <c r="L93" s="494"/>
      <c r="M93" s="476"/>
      <c r="N93" s="476"/>
      <c r="O93" s="476"/>
      <c r="P93" s="476"/>
      <c r="Q93" s="476"/>
      <c r="R93" s="461"/>
      <c r="S93" s="461"/>
      <c r="T93" s="461"/>
      <c r="U93" s="461"/>
      <c r="V93" s="461"/>
      <c r="W93" s="461"/>
      <c r="X93" s="461"/>
      <c r="Y93" s="461"/>
    </row>
    <row r="94" spans="1:25">
      <c r="A94" s="476"/>
      <c r="B94" s="476"/>
      <c r="C94" s="476"/>
      <c r="D94" s="476"/>
      <c r="E94" s="489"/>
      <c r="F94" s="489"/>
      <c r="G94" s="490"/>
      <c r="H94" s="491"/>
      <c r="I94" s="492"/>
      <c r="J94" s="492"/>
      <c r="K94" s="492"/>
      <c r="L94" s="494"/>
      <c r="M94" s="476"/>
      <c r="N94" s="476"/>
      <c r="O94" s="476"/>
      <c r="P94" s="476"/>
      <c r="Q94" s="476"/>
      <c r="R94" s="461"/>
      <c r="S94" s="461"/>
      <c r="T94" s="461"/>
      <c r="U94" s="461"/>
      <c r="V94" s="461"/>
      <c r="W94" s="461"/>
      <c r="X94" s="461"/>
      <c r="Y94" s="461"/>
    </row>
    <row r="95" spans="1:25">
      <c r="A95" s="476"/>
      <c r="B95" s="476"/>
      <c r="C95" s="476"/>
      <c r="D95" s="476"/>
      <c r="E95" s="489"/>
      <c r="F95" s="489"/>
      <c r="G95" s="490"/>
      <c r="H95" s="491"/>
      <c r="I95" s="492"/>
      <c r="J95" s="492"/>
      <c r="K95" s="492"/>
      <c r="L95" s="494"/>
      <c r="M95" s="476"/>
      <c r="N95" s="476"/>
      <c r="O95" s="476"/>
      <c r="P95" s="476"/>
      <c r="Q95" s="476"/>
      <c r="R95" s="461"/>
      <c r="S95" s="461"/>
      <c r="T95" s="461"/>
      <c r="U95" s="461"/>
      <c r="V95" s="461"/>
      <c r="W95" s="461"/>
      <c r="X95" s="461"/>
      <c r="Y95" s="461"/>
    </row>
    <row r="96" spans="1:25">
      <c r="A96" s="476"/>
      <c r="B96" s="476"/>
      <c r="C96" s="476"/>
      <c r="D96" s="476"/>
      <c r="E96" s="489"/>
      <c r="F96" s="489"/>
      <c r="G96" s="490"/>
      <c r="H96" s="491"/>
      <c r="I96" s="492"/>
      <c r="J96" s="492"/>
      <c r="K96" s="492"/>
      <c r="L96" s="494"/>
      <c r="M96" s="476"/>
      <c r="N96" s="476"/>
      <c r="O96" s="476"/>
      <c r="P96" s="476"/>
      <c r="Q96" s="476"/>
      <c r="R96" s="461"/>
      <c r="S96" s="461"/>
      <c r="T96" s="461"/>
      <c r="U96" s="461"/>
      <c r="V96" s="461"/>
      <c r="W96" s="461"/>
      <c r="X96" s="461"/>
      <c r="Y96" s="461"/>
    </row>
    <row r="97" spans="1:25">
      <c r="A97" s="476"/>
      <c r="B97" s="476"/>
      <c r="C97" s="476"/>
      <c r="D97" s="476"/>
      <c r="E97" s="489"/>
      <c r="F97" s="489"/>
      <c r="G97" s="490"/>
      <c r="H97" s="491"/>
      <c r="I97" s="492"/>
      <c r="J97" s="492"/>
      <c r="K97" s="492"/>
      <c r="L97" s="494"/>
      <c r="M97" s="476"/>
      <c r="N97" s="476"/>
      <c r="O97" s="476"/>
      <c r="P97" s="476"/>
      <c r="Q97" s="476"/>
      <c r="R97" s="461"/>
      <c r="S97" s="461"/>
      <c r="T97" s="461"/>
      <c r="U97" s="461"/>
      <c r="V97" s="461"/>
      <c r="W97" s="461"/>
      <c r="X97" s="461"/>
      <c r="Y97" s="461"/>
    </row>
    <row r="98" spans="1:25">
      <c r="A98" s="476"/>
      <c r="B98" s="476"/>
      <c r="C98" s="476"/>
      <c r="D98" s="476"/>
      <c r="E98" s="489"/>
      <c r="F98" s="489"/>
      <c r="G98" s="490"/>
      <c r="H98" s="491"/>
      <c r="I98" s="492"/>
      <c r="J98" s="492"/>
      <c r="K98" s="492"/>
      <c r="L98" s="494"/>
      <c r="M98" s="476"/>
      <c r="N98" s="476"/>
      <c r="O98" s="476"/>
      <c r="P98" s="476"/>
      <c r="Q98" s="476"/>
      <c r="R98" s="461"/>
      <c r="S98" s="461"/>
      <c r="T98" s="461"/>
      <c r="U98" s="461"/>
      <c r="V98" s="461"/>
      <c r="W98" s="461"/>
      <c r="X98" s="461"/>
      <c r="Y98" s="461"/>
    </row>
    <row r="99" spans="1:25">
      <c r="A99" s="476"/>
      <c r="B99" s="476"/>
      <c r="C99" s="476"/>
      <c r="D99" s="476"/>
      <c r="E99" s="489"/>
      <c r="F99" s="489"/>
      <c r="G99" s="490"/>
      <c r="H99" s="491"/>
      <c r="I99" s="492"/>
      <c r="J99" s="492"/>
      <c r="K99" s="492"/>
      <c r="L99" s="494"/>
      <c r="M99" s="476"/>
      <c r="N99" s="476"/>
      <c r="O99" s="476"/>
      <c r="P99" s="476"/>
      <c r="Q99" s="476"/>
      <c r="R99" s="461"/>
      <c r="S99" s="461"/>
      <c r="T99" s="461"/>
      <c r="U99" s="461"/>
      <c r="V99" s="461"/>
      <c r="W99" s="461"/>
      <c r="X99" s="461"/>
      <c r="Y99" s="461"/>
    </row>
    <row r="100" spans="1:25">
      <c r="A100" s="476"/>
      <c r="B100" s="476"/>
      <c r="C100" s="476"/>
      <c r="D100" s="476"/>
      <c r="E100" s="489"/>
      <c r="F100" s="489"/>
      <c r="G100" s="490"/>
      <c r="H100" s="491"/>
      <c r="I100" s="492"/>
      <c r="J100" s="492"/>
      <c r="K100" s="492"/>
      <c r="L100" s="494"/>
      <c r="M100" s="476"/>
      <c r="N100" s="476"/>
      <c r="O100" s="476"/>
      <c r="P100" s="476"/>
      <c r="Q100" s="476"/>
      <c r="R100" s="461"/>
      <c r="S100" s="461"/>
      <c r="T100" s="461"/>
      <c r="U100" s="461"/>
      <c r="V100" s="461"/>
      <c r="W100" s="461"/>
      <c r="X100" s="461"/>
      <c r="Y100" s="461"/>
    </row>
    <row r="101" spans="1:25">
      <c r="A101" s="476"/>
      <c r="B101" s="476"/>
      <c r="C101" s="476"/>
      <c r="D101" s="476"/>
      <c r="E101" s="489"/>
      <c r="F101" s="489"/>
      <c r="G101" s="490"/>
      <c r="H101" s="491"/>
      <c r="I101" s="492"/>
      <c r="J101" s="492"/>
      <c r="K101" s="492"/>
      <c r="L101" s="494"/>
      <c r="M101" s="476"/>
      <c r="N101" s="476"/>
      <c r="O101" s="476"/>
      <c r="P101" s="476"/>
      <c r="Q101" s="476"/>
      <c r="R101" s="461"/>
      <c r="S101" s="461"/>
      <c r="T101" s="461"/>
      <c r="U101" s="461"/>
      <c r="V101" s="461"/>
      <c r="W101" s="461"/>
      <c r="X101" s="461"/>
      <c r="Y101" s="461"/>
    </row>
    <row r="102" spans="1:25">
      <c r="A102" s="476"/>
      <c r="B102" s="476"/>
      <c r="C102" s="476"/>
      <c r="D102" s="476"/>
      <c r="E102" s="489"/>
      <c r="F102" s="489"/>
      <c r="G102" s="490"/>
      <c r="H102" s="491"/>
      <c r="I102" s="492"/>
      <c r="J102" s="492"/>
      <c r="K102" s="492"/>
      <c r="L102" s="494"/>
      <c r="M102" s="476"/>
      <c r="N102" s="476"/>
      <c r="O102" s="476"/>
      <c r="P102" s="476"/>
      <c r="Q102" s="476"/>
      <c r="R102" s="461"/>
      <c r="S102" s="461"/>
      <c r="T102" s="461"/>
      <c r="U102" s="461"/>
      <c r="V102" s="461"/>
      <c r="W102" s="461"/>
      <c r="X102" s="461"/>
      <c r="Y102" s="461"/>
    </row>
    <row r="103" spans="1:25">
      <c r="A103" s="476"/>
      <c r="B103" s="476"/>
      <c r="C103" s="476"/>
      <c r="D103" s="476"/>
      <c r="E103" s="489"/>
      <c r="F103" s="489"/>
      <c r="G103" s="490"/>
      <c r="H103" s="491"/>
      <c r="I103" s="492"/>
      <c r="J103" s="492"/>
      <c r="K103" s="492"/>
      <c r="L103" s="494"/>
      <c r="M103" s="476"/>
      <c r="N103" s="476"/>
      <c r="O103" s="476"/>
      <c r="P103" s="476"/>
      <c r="Q103" s="476"/>
      <c r="R103" s="461"/>
      <c r="S103" s="461"/>
      <c r="T103" s="461"/>
      <c r="U103" s="461"/>
      <c r="V103" s="461"/>
      <c r="W103" s="461"/>
      <c r="X103" s="461"/>
      <c r="Y103" s="461"/>
    </row>
    <row r="104" spans="1:25">
      <c r="A104" s="476"/>
      <c r="B104" s="476"/>
      <c r="C104" s="476"/>
      <c r="D104" s="476"/>
      <c r="E104" s="489"/>
      <c r="F104" s="489"/>
      <c r="G104" s="490"/>
      <c r="H104" s="491"/>
      <c r="I104" s="492"/>
      <c r="J104" s="492"/>
      <c r="K104" s="492"/>
      <c r="L104" s="494"/>
      <c r="M104" s="476"/>
      <c r="N104" s="476"/>
      <c r="O104" s="476"/>
      <c r="P104" s="476"/>
      <c r="Q104" s="476"/>
      <c r="R104" s="461"/>
      <c r="S104" s="461"/>
      <c r="T104" s="461"/>
      <c r="U104" s="461"/>
      <c r="V104" s="461"/>
      <c r="W104" s="461"/>
      <c r="X104" s="461"/>
      <c r="Y104" s="461"/>
    </row>
    <row r="105" spans="1:25">
      <c r="A105" s="476"/>
      <c r="B105" s="476"/>
      <c r="C105" s="476"/>
      <c r="D105" s="476"/>
      <c r="E105" s="489"/>
      <c r="F105" s="489"/>
      <c r="G105" s="490"/>
      <c r="H105" s="491"/>
      <c r="I105" s="492"/>
      <c r="J105" s="492"/>
      <c r="K105" s="492"/>
      <c r="L105" s="494"/>
      <c r="M105" s="476"/>
      <c r="N105" s="476"/>
      <c r="O105" s="476"/>
      <c r="P105" s="476"/>
      <c r="Q105" s="476"/>
      <c r="R105" s="461"/>
      <c r="S105" s="461"/>
      <c r="T105" s="461"/>
      <c r="U105" s="461"/>
      <c r="V105" s="461"/>
      <c r="W105" s="461"/>
      <c r="X105" s="461"/>
      <c r="Y105" s="461"/>
    </row>
    <row r="106" spans="1:25">
      <c r="A106" s="476"/>
      <c r="B106" s="476"/>
      <c r="C106" s="476"/>
      <c r="D106" s="476"/>
      <c r="E106" s="489"/>
      <c r="F106" s="489"/>
      <c r="G106" s="490"/>
      <c r="H106" s="491"/>
      <c r="I106" s="492"/>
      <c r="J106" s="492"/>
      <c r="K106" s="492"/>
      <c r="L106" s="494"/>
      <c r="M106" s="476"/>
      <c r="N106" s="476"/>
      <c r="O106" s="476"/>
      <c r="P106" s="476"/>
      <c r="Q106" s="476"/>
      <c r="R106" s="461"/>
      <c r="S106" s="461"/>
      <c r="T106" s="461"/>
      <c r="U106" s="461"/>
      <c r="V106" s="461"/>
      <c r="W106" s="461"/>
      <c r="X106" s="461"/>
      <c r="Y106" s="461"/>
    </row>
    <row r="107" spans="1:25">
      <c r="A107" s="476"/>
      <c r="B107" s="476"/>
      <c r="C107" s="476"/>
      <c r="D107" s="476"/>
      <c r="E107" s="489"/>
      <c r="F107" s="489"/>
      <c r="G107" s="490"/>
      <c r="H107" s="491"/>
      <c r="I107" s="492"/>
      <c r="J107" s="492"/>
      <c r="K107" s="492"/>
      <c r="L107" s="494"/>
      <c r="M107" s="476"/>
      <c r="N107" s="476"/>
      <c r="O107" s="476"/>
      <c r="P107" s="476"/>
      <c r="Q107" s="476"/>
      <c r="R107" s="461"/>
      <c r="S107" s="461"/>
      <c r="T107" s="461"/>
      <c r="U107" s="461"/>
      <c r="V107" s="461"/>
      <c r="W107" s="461"/>
      <c r="X107" s="461"/>
      <c r="Y107" s="461"/>
    </row>
    <row r="108" spans="1:25">
      <c r="A108" s="476"/>
      <c r="B108" s="476"/>
      <c r="C108" s="476"/>
      <c r="D108" s="476"/>
      <c r="E108" s="489"/>
      <c r="F108" s="489"/>
      <c r="G108" s="490"/>
      <c r="H108" s="491"/>
      <c r="I108" s="492"/>
      <c r="J108" s="492"/>
      <c r="K108" s="492"/>
      <c r="L108" s="494"/>
      <c r="M108" s="476"/>
      <c r="N108" s="476"/>
      <c r="O108" s="476"/>
      <c r="P108" s="476"/>
      <c r="Q108" s="476"/>
      <c r="R108" s="461"/>
      <c r="S108" s="461"/>
      <c r="T108" s="461"/>
      <c r="U108" s="461"/>
      <c r="V108" s="461"/>
      <c r="W108" s="461"/>
      <c r="X108" s="461"/>
      <c r="Y108" s="461"/>
    </row>
    <row r="109" spans="1:25">
      <c r="A109" s="476"/>
      <c r="B109" s="476"/>
      <c r="C109" s="476"/>
      <c r="D109" s="476"/>
      <c r="E109" s="489"/>
      <c r="F109" s="489"/>
      <c r="G109" s="490"/>
      <c r="H109" s="491"/>
      <c r="I109" s="492"/>
      <c r="J109" s="492"/>
      <c r="K109" s="492"/>
      <c r="L109" s="494"/>
      <c r="M109" s="476"/>
      <c r="N109" s="476"/>
      <c r="O109" s="476"/>
      <c r="P109" s="476"/>
      <c r="Q109" s="476"/>
      <c r="R109" s="461"/>
      <c r="S109" s="461"/>
      <c r="T109" s="461"/>
      <c r="U109" s="461"/>
      <c r="V109" s="461"/>
      <c r="W109" s="461"/>
      <c r="X109" s="461"/>
      <c r="Y109" s="461"/>
    </row>
    <row r="110" spans="1:25">
      <c r="A110" s="476"/>
      <c r="B110" s="476"/>
      <c r="C110" s="476"/>
      <c r="D110" s="476"/>
      <c r="E110" s="489"/>
      <c r="F110" s="489"/>
      <c r="G110" s="490"/>
      <c r="H110" s="491"/>
      <c r="I110" s="492"/>
      <c r="J110" s="492"/>
      <c r="K110" s="492"/>
      <c r="L110" s="494"/>
      <c r="M110" s="476"/>
      <c r="N110" s="476"/>
      <c r="O110" s="476"/>
      <c r="P110" s="476"/>
      <c r="Q110" s="476"/>
      <c r="R110" s="461"/>
      <c r="S110" s="461"/>
      <c r="T110" s="461"/>
      <c r="U110" s="461"/>
      <c r="V110" s="461"/>
      <c r="W110" s="461"/>
      <c r="X110" s="461"/>
      <c r="Y110" s="461"/>
    </row>
    <row r="111" spans="1:25">
      <c r="A111" s="476"/>
      <c r="B111" s="476"/>
      <c r="C111" s="476"/>
      <c r="D111" s="476"/>
      <c r="E111" s="489"/>
      <c r="F111" s="489"/>
      <c r="G111" s="490"/>
      <c r="H111" s="491"/>
      <c r="I111" s="492"/>
      <c r="J111" s="492"/>
      <c r="K111" s="492"/>
      <c r="L111" s="494"/>
      <c r="M111" s="476"/>
      <c r="N111" s="476"/>
      <c r="O111" s="476"/>
      <c r="P111" s="476"/>
      <c r="Q111" s="476"/>
      <c r="R111" s="461"/>
      <c r="S111" s="461"/>
      <c r="T111" s="461"/>
      <c r="U111" s="461"/>
      <c r="V111" s="461"/>
      <c r="W111" s="461"/>
      <c r="X111" s="461"/>
      <c r="Y111" s="461"/>
    </row>
    <row r="112" spans="1:25">
      <c r="A112" s="476"/>
      <c r="B112" s="476"/>
      <c r="C112" s="476"/>
      <c r="D112" s="476"/>
      <c r="E112" s="489"/>
      <c r="F112" s="489"/>
      <c r="G112" s="490"/>
      <c r="H112" s="491"/>
      <c r="I112" s="492"/>
      <c r="J112" s="492"/>
      <c r="K112" s="492"/>
      <c r="L112" s="494"/>
      <c r="M112" s="476"/>
      <c r="N112" s="476"/>
      <c r="O112" s="476"/>
      <c r="P112" s="476"/>
      <c r="Q112" s="476"/>
      <c r="R112" s="461"/>
      <c r="S112" s="461"/>
      <c r="T112" s="461"/>
      <c r="U112" s="461"/>
      <c r="V112" s="461"/>
      <c r="W112" s="461"/>
      <c r="X112" s="461"/>
      <c r="Y112" s="461"/>
    </row>
    <row r="113" spans="1:25">
      <c r="A113" s="476"/>
      <c r="B113" s="476"/>
      <c r="C113" s="476"/>
      <c r="D113" s="476"/>
      <c r="E113" s="489"/>
      <c r="F113" s="489"/>
      <c r="G113" s="490"/>
      <c r="H113" s="491"/>
      <c r="I113" s="492"/>
      <c r="J113" s="492"/>
      <c r="K113" s="492"/>
      <c r="L113" s="494"/>
      <c r="M113" s="476"/>
      <c r="N113" s="476"/>
      <c r="O113" s="476"/>
      <c r="P113" s="476"/>
      <c r="Q113" s="476"/>
      <c r="R113" s="461"/>
      <c r="S113" s="461"/>
      <c r="T113" s="461"/>
      <c r="U113" s="461"/>
      <c r="V113" s="461"/>
      <c r="W113" s="461"/>
      <c r="X113" s="461"/>
      <c r="Y113" s="461"/>
    </row>
    <row r="114" spans="1:25">
      <c r="A114" s="476"/>
      <c r="B114" s="476"/>
      <c r="C114" s="476"/>
      <c r="D114" s="476"/>
      <c r="E114" s="489"/>
      <c r="F114" s="489"/>
      <c r="G114" s="490"/>
      <c r="H114" s="491"/>
      <c r="I114" s="492"/>
      <c r="J114" s="492"/>
      <c r="K114" s="492"/>
      <c r="L114" s="494"/>
      <c r="M114" s="476"/>
      <c r="N114" s="476"/>
      <c r="O114" s="476"/>
      <c r="P114" s="476"/>
      <c r="Q114" s="476"/>
      <c r="R114" s="461"/>
      <c r="S114" s="461"/>
      <c r="T114" s="461"/>
      <c r="U114" s="461"/>
      <c r="V114" s="461"/>
      <c r="W114" s="461"/>
      <c r="X114" s="461"/>
      <c r="Y114" s="461"/>
    </row>
    <row r="115" spans="1:25">
      <c r="A115" s="476"/>
      <c r="B115" s="476"/>
      <c r="C115" s="476"/>
      <c r="D115" s="476"/>
      <c r="E115" s="489"/>
      <c r="F115" s="489"/>
      <c r="G115" s="490"/>
      <c r="H115" s="491"/>
      <c r="I115" s="492"/>
      <c r="J115" s="492"/>
      <c r="K115" s="492"/>
      <c r="L115" s="494"/>
      <c r="M115" s="476"/>
      <c r="N115" s="476"/>
      <c r="O115" s="476"/>
      <c r="P115" s="476"/>
      <c r="Q115" s="476"/>
      <c r="R115" s="461"/>
      <c r="S115" s="461"/>
      <c r="T115" s="461"/>
      <c r="U115" s="461"/>
      <c r="V115" s="461"/>
      <c r="W115" s="461"/>
      <c r="X115" s="461"/>
      <c r="Y115" s="461"/>
    </row>
    <row r="116" spans="1:25">
      <c r="A116" s="476"/>
      <c r="B116" s="476"/>
      <c r="C116" s="476"/>
      <c r="D116" s="476"/>
      <c r="E116" s="489"/>
      <c r="F116" s="489"/>
      <c r="G116" s="490"/>
      <c r="H116" s="491"/>
      <c r="I116" s="492"/>
      <c r="J116" s="492"/>
      <c r="K116" s="492"/>
      <c r="L116" s="494"/>
      <c r="M116" s="476"/>
      <c r="N116" s="476"/>
      <c r="O116" s="476"/>
      <c r="P116" s="476"/>
      <c r="Q116" s="476"/>
      <c r="R116" s="461"/>
      <c r="S116" s="461"/>
      <c r="T116" s="461"/>
      <c r="U116" s="461"/>
      <c r="V116" s="461"/>
      <c r="W116" s="461"/>
      <c r="X116" s="461"/>
      <c r="Y116" s="461"/>
    </row>
    <row r="117" spans="1:25">
      <c r="A117" s="476"/>
      <c r="B117" s="476"/>
      <c r="C117" s="476"/>
      <c r="D117" s="476"/>
      <c r="E117" s="489"/>
      <c r="F117" s="489"/>
      <c r="G117" s="490"/>
      <c r="H117" s="491"/>
      <c r="I117" s="492"/>
      <c r="J117" s="492"/>
      <c r="K117" s="492"/>
      <c r="L117" s="494"/>
      <c r="M117" s="476"/>
      <c r="N117" s="476"/>
      <c r="O117" s="476"/>
      <c r="P117" s="476"/>
      <c r="Q117" s="476"/>
      <c r="R117" s="461"/>
      <c r="S117" s="461"/>
      <c r="T117" s="461"/>
      <c r="U117" s="461"/>
      <c r="V117" s="461"/>
      <c r="W117" s="461"/>
      <c r="X117" s="461"/>
      <c r="Y117" s="461"/>
    </row>
    <row r="118" spans="1:25">
      <c r="A118" s="476"/>
      <c r="B118" s="476"/>
      <c r="C118" s="476"/>
      <c r="D118" s="476"/>
      <c r="E118" s="489"/>
      <c r="F118" s="489"/>
      <c r="G118" s="490"/>
      <c r="H118" s="491"/>
      <c r="I118" s="492"/>
      <c r="J118" s="492"/>
      <c r="K118" s="492"/>
      <c r="L118" s="494"/>
      <c r="M118" s="476"/>
      <c r="N118" s="476"/>
      <c r="O118" s="476"/>
      <c r="P118" s="476"/>
      <c r="Q118" s="476"/>
      <c r="R118" s="461"/>
      <c r="S118" s="461"/>
      <c r="T118" s="461"/>
      <c r="U118" s="461"/>
      <c r="V118" s="461"/>
      <c r="W118" s="461"/>
      <c r="X118" s="461"/>
      <c r="Y118" s="461"/>
    </row>
    <row r="119" spans="1:25">
      <c r="A119" s="476"/>
      <c r="B119" s="476"/>
      <c r="C119" s="476"/>
      <c r="D119" s="476"/>
      <c r="E119" s="489"/>
      <c r="F119" s="489"/>
      <c r="G119" s="490"/>
      <c r="H119" s="491"/>
      <c r="I119" s="492"/>
      <c r="J119" s="492"/>
      <c r="K119" s="492"/>
      <c r="L119" s="494"/>
      <c r="M119" s="476"/>
      <c r="N119" s="476"/>
      <c r="O119" s="476"/>
      <c r="P119" s="476"/>
      <c r="Q119" s="476"/>
      <c r="R119" s="461"/>
      <c r="S119" s="461"/>
      <c r="T119" s="461"/>
      <c r="U119" s="461"/>
      <c r="V119" s="461"/>
      <c r="W119" s="461"/>
      <c r="X119" s="461"/>
      <c r="Y119" s="461"/>
    </row>
    <row r="120" spans="1:25">
      <c r="A120" s="476"/>
      <c r="B120" s="476"/>
      <c r="C120" s="476"/>
      <c r="D120" s="476"/>
      <c r="E120" s="489"/>
      <c r="F120" s="489"/>
      <c r="G120" s="490"/>
      <c r="H120" s="491"/>
      <c r="I120" s="492"/>
      <c r="J120" s="492"/>
      <c r="K120" s="492"/>
      <c r="L120" s="494"/>
      <c r="M120" s="476"/>
      <c r="N120" s="476"/>
      <c r="O120" s="476"/>
      <c r="P120" s="476"/>
      <c r="Q120" s="476"/>
      <c r="R120" s="461"/>
      <c r="S120" s="461"/>
      <c r="T120" s="461"/>
      <c r="U120" s="461"/>
      <c r="V120" s="461"/>
      <c r="W120" s="461"/>
      <c r="X120" s="461"/>
      <c r="Y120" s="461"/>
    </row>
    <row r="121" spans="1:25">
      <c r="A121" s="476"/>
      <c r="B121" s="476"/>
      <c r="C121" s="476"/>
      <c r="D121" s="476"/>
      <c r="E121" s="489"/>
      <c r="F121" s="489"/>
      <c r="G121" s="490"/>
      <c r="H121" s="491"/>
      <c r="I121" s="492"/>
      <c r="J121" s="492"/>
      <c r="K121" s="492"/>
      <c r="L121" s="494"/>
      <c r="M121" s="476"/>
      <c r="N121" s="476"/>
      <c r="O121" s="476"/>
      <c r="P121" s="476"/>
      <c r="Q121" s="476"/>
      <c r="R121" s="461"/>
      <c r="S121" s="461"/>
      <c r="T121" s="461"/>
      <c r="U121" s="461"/>
      <c r="V121" s="461"/>
      <c r="W121" s="461"/>
      <c r="X121" s="461"/>
      <c r="Y121" s="461"/>
    </row>
    <row r="122" spans="1:25">
      <c r="A122" s="476"/>
      <c r="B122" s="476"/>
      <c r="C122" s="476"/>
      <c r="D122" s="476"/>
      <c r="E122" s="489"/>
      <c r="F122" s="489"/>
      <c r="G122" s="490"/>
      <c r="H122" s="491"/>
      <c r="I122" s="492"/>
      <c r="J122" s="492"/>
      <c r="K122" s="492"/>
      <c r="L122" s="494"/>
      <c r="M122" s="476"/>
      <c r="N122" s="476"/>
      <c r="O122" s="476"/>
      <c r="P122" s="476"/>
      <c r="Q122" s="476"/>
      <c r="R122" s="461"/>
      <c r="S122" s="461"/>
      <c r="T122" s="461"/>
      <c r="U122" s="461"/>
      <c r="V122" s="461"/>
      <c r="W122" s="461"/>
      <c r="X122" s="461"/>
      <c r="Y122" s="461"/>
    </row>
    <row r="123" spans="1:25">
      <c r="A123" s="476"/>
      <c r="B123" s="476"/>
      <c r="C123" s="476"/>
      <c r="D123" s="476"/>
      <c r="E123" s="489"/>
      <c r="F123" s="489"/>
      <c r="G123" s="490"/>
      <c r="H123" s="491"/>
      <c r="I123" s="492"/>
      <c r="J123" s="492"/>
      <c r="K123" s="492"/>
      <c r="L123" s="494"/>
      <c r="M123" s="476"/>
      <c r="N123" s="476"/>
      <c r="O123" s="476"/>
      <c r="P123" s="476"/>
      <c r="Q123" s="476"/>
      <c r="R123" s="461"/>
      <c r="S123" s="461"/>
      <c r="T123" s="461"/>
      <c r="U123" s="461"/>
      <c r="V123" s="461"/>
      <c r="W123" s="461"/>
      <c r="X123" s="461"/>
      <c r="Y123" s="461"/>
    </row>
    <row r="124" spans="1:25">
      <c r="A124" s="476"/>
      <c r="B124" s="476"/>
      <c r="C124" s="476"/>
      <c r="D124" s="476"/>
      <c r="E124" s="489"/>
      <c r="F124" s="489"/>
      <c r="G124" s="490"/>
      <c r="H124" s="491"/>
      <c r="I124" s="492"/>
      <c r="J124" s="492"/>
      <c r="K124" s="492"/>
      <c r="L124" s="494"/>
      <c r="M124" s="476"/>
      <c r="N124" s="476"/>
      <c r="O124" s="476"/>
      <c r="P124" s="476"/>
      <c r="Q124" s="476"/>
      <c r="R124" s="461"/>
      <c r="S124" s="461"/>
      <c r="T124" s="461"/>
      <c r="U124" s="461"/>
      <c r="V124" s="461"/>
      <c r="W124" s="461"/>
      <c r="X124" s="461"/>
      <c r="Y124" s="461"/>
    </row>
    <row r="125" spans="1:25">
      <c r="A125" s="476"/>
      <c r="B125" s="476"/>
      <c r="C125" s="476"/>
      <c r="D125" s="476"/>
      <c r="E125" s="489"/>
      <c r="F125" s="489"/>
      <c r="G125" s="490"/>
      <c r="H125" s="491"/>
      <c r="I125" s="492"/>
      <c r="J125" s="492"/>
      <c r="K125" s="492"/>
      <c r="L125" s="494"/>
      <c r="M125" s="476"/>
      <c r="N125" s="476"/>
      <c r="O125" s="476"/>
      <c r="P125" s="476"/>
      <c r="Q125" s="476"/>
      <c r="R125" s="461"/>
      <c r="S125" s="461"/>
      <c r="T125" s="461"/>
      <c r="U125" s="461"/>
      <c r="V125" s="461"/>
      <c r="W125" s="461"/>
      <c r="X125" s="461"/>
      <c r="Y125" s="461"/>
    </row>
    <row r="126" spans="1:25">
      <c r="A126" s="476"/>
      <c r="B126" s="476"/>
      <c r="C126" s="476"/>
      <c r="D126" s="476"/>
      <c r="E126" s="489"/>
      <c r="F126" s="489"/>
      <c r="G126" s="490"/>
      <c r="H126" s="491"/>
      <c r="I126" s="492"/>
      <c r="J126" s="492"/>
      <c r="K126" s="492"/>
      <c r="L126" s="494"/>
      <c r="M126" s="476"/>
      <c r="N126" s="476"/>
      <c r="O126" s="476"/>
      <c r="P126" s="476"/>
      <c r="Q126" s="476"/>
      <c r="R126" s="461"/>
      <c r="S126" s="461"/>
      <c r="T126" s="461"/>
      <c r="U126" s="461"/>
      <c r="V126" s="461"/>
      <c r="W126" s="461"/>
      <c r="X126" s="461"/>
      <c r="Y126" s="461"/>
    </row>
    <row r="127" spans="1:25">
      <c r="A127" s="476"/>
      <c r="B127" s="476"/>
      <c r="C127" s="476"/>
      <c r="D127" s="476"/>
      <c r="E127" s="489"/>
      <c r="F127" s="489"/>
      <c r="G127" s="490"/>
      <c r="H127" s="491"/>
      <c r="I127" s="492"/>
      <c r="J127" s="492"/>
      <c r="K127" s="492"/>
      <c r="L127" s="494"/>
      <c r="M127" s="476"/>
      <c r="N127" s="476"/>
      <c r="O127" s="476"/>
      <c r="P127" s="476"/>
      <c r="Q127" s="476"/>
      <c r="R127" s="461"/>
      <c r="S127" s="461"/>
      <c r="T127" s="461"/>
      <c r="U127" s="461"/>
      <c r="V127" s="461"/>
      <c r="W127" s="461"/>
      <c r="X127" s="461"/>
      <c r="Y127" s="461"/>
    </row>
    <row r="128" spans="1:25">
      <c r="A128" s="476"/>
      <c r="B128" s="476"/>
      <c r="C128" s="476"/>
      <c r="D128" s="476"/>
      <c r="E128" s="489"/>
      <c r="F128" s="489"/>
      <c r="G128" s="490"/>
      <c r="H128" s="491"/>
      <c r="I128" s="492"/>
      <c r="J128" s="492"/>
      <c r="K128" s="492"/>
      <c r="L128" s="494"/>
      <c r="M128" s="476"/>
      <c r="N128" s="476"/>
      <c r="O128" s="476"/>
      <c r="P128" s="476"/>
      <c r="Q128" s="476"/>
      <c r="R128" s="461"/>
      <c r="S128" s="461"/>
      <c r="T128" s="461"/>
      <c r="U128" s="461"/>
      <c r="V128" s="461"/>
      <c r="W128" s="461"/>
      <c r="X128" s="461"/>
      <c r="Y128" s="461"/>
    </row>
    <row r="129" spans="1:25">
      <c r="A129" s="476"/>
      <c r="B129" s="476"/>
      <c r="C129" s="476"/>
      <c r="D129" s="476"/>
      <c r="E129" s="489"/>
      <c r="F129" s="489"/>
      <c r="G129" s="490"/>
      <c r="H129" s="491"/>
      <c r="I129" s="492"/>
      <c r="J129" s="492"/>
      <c r="K129" s="492"/>
      <c r="L129" s="494"/>
      <c r="M129" s="476"/>
      <c r="N129" s="476"/>
      <c r="O129" s="476"/>
      <c r="P129" s="476"/>
      <c r="Q129" s="476"/>
      <c r="R129" s="461"/>
      <c r="S129" s="461"/>
      <c r="T129" s="461"/>
      <c r="U129" s="461"/>
      <c r="V129" s="461"/>
      <c r="W129" s="461"/>
      <c r="X129" s="461"/>
      <c r="Y129" s="461"/>
    </row>
    <row r="130" spans="1:25">
      <c r="A130" s="476"/>
      <c r="B130" s="476"/>
      <c r="C130" s="476"/>
      <c r="D130" s="476"/>
      <c r="E130" s="489"/>
      <c r="F130" s="489"/>
      <c r="G130" s="490"/>
      <c r="H130" s="491"/>
      <c r="I130" s="492"/>
      <c r="J130" s="492"/>
      <c r="K130" s="492"/>
      <c r="L130" s="494"/>
      <c r="M130" s="476"/>
      <c r="N130" s="476"/>
      <c r="O130" s="476"/>
      <c r="P130" s="476"/>
      <c r="Q130" s="476"/>
      <c r="R130" s="461"/>
      <c r="S130" s="461"/>
      <c r="T130" s="461"/>
      <c r="U130" s="461"/>
      <c r="V130" s="461"/>
      <c r="W130" s="461"/>
      <c r="X130" s="461"/>
      <c r="Y130" s="461"/>
    </row>
    <row r="131" spans="1:25">
      <c r="A131" s="476"/>
      <c r="B131" s="476"/>
      <c r="C131" s="476"/>
      <c r="D131" s="476"/>
      <c r="E131" s="489"/>
      <c r="F131" s="489"/>
      <c r="G131" s="490"/>
      <c r="H131" s="491"/>
      <c r="I131" s="492"/>
      <c r="J131" s="492"/>
      <c r="K131" s="492"/>
      <c r="L131" s="494"/>
      <c r="M131" s="476"/>
      <c r="N131" s="476"/>
      <c r="O131" s="476"/>
      <c r="P131" s="476"/>
      <c r="Q131" s="476"/>
      <c r="R131" s="461"/>
      <c r="S131" s="461"/>
      <c r="T131" s="461"/>
      <c r="U131" s="461"/>
      <c r="V131" s="461"/>
      <c r="W131" s="461"/>
      <c r="X131" s="461"/>
      <c r="Y131" s="461"/>
    </row>
    <row r="132" spans="1:25">
      <c r="A132" s="476"/>
      <c r="B132" s="476"/>
      <c r="C132" s="476"/>
      <c r="D132" s="476"/>
      <c r="E132" s="489"/>
      <c r="F132" s="489"/>
      <c r="G132" s="490"/>
      <c r="H132" s="491"/>
      <c r="I132" s="492"/>
      <c r="J132" s="492"/>
      <c r="K132" s="492"/>
      <c r="L132" s="494"/>
      <c r="M132" s="476"/>
      <c r="N132" s="476"/>
      <c r="O132" s="476"/>
      <c r="P132" s="476"/>
      <c r="Q132" s="476"/>
      <c r="R132" s="461"/>
      <c r="S132" s="461"/>
      <c r="T132" s="461"/>
      <c r="U132" s="461"/>
      <c r="V132" s="461"/>
      <c r="W132" s="461"/>
      <c r="X132" s="461"/>
      <c r="Y132" s="461"/>
    </row>
    <row r="133" spans="1:25">
      <c r="A133" s="476"/>
      <c r="B133" s="476"/>
      <c r="C133" s="476"/>
      <c r="D133" s="476"/>
      <c r="E133" s="489"/>
      <c r="F133" s="489"/>
      <c r="G133" s="490"/>
      <c r="H133" s="491"/>
      <c r="I133" s="492"/>
      <c r="J133" s="492"/>
      <c r="K133" s="492"/>
      <c r="L133" s="494"/>
      <c r="M133" s="476"/>
      <c r="N133" s="476"/>
      <c r="O133" s="476"/>
      <c r="P133" s="476"/>
      <c r="Q133" s="476"/>
      <c r="R133" s="461"/>
      <c r="S133" s="461"/>
      <c r="T133" s="461"/>
      <c r="U133" s="461"/>
      <c r="V133" s="461"/>
      <c r="W133" s="461"/>
      <c r="X133" s="461"/>
      <c r="Y133" s="461"/>
    </row>
    <row r="134" spans="1:25">
      <c r="A134" s="476"/>
      <c r="B134" s="476"/>
      <c r="C134" s="476"/>
      <c r="D134" s="476"/>
      <c r="E134" s="489"/>
      <c r="F134" s="489"/>
      <c r="G134" s="490"/>
      <c r="H134" s="491"/>
      <c r="I134" s="492"/>
      <c r="J134" s="492"/>
      <c r="K134" s="492"/>
      <c r="L134" s="494"/>
      <c r="M134" s="476"/>
      <c r="N134" s="476"/>
      <c r="O134" s="476"/>
      <c r="P134" s="476"/>
      <c r="Q134" s="476"/>
      <c r="R134" s="461"/>
      <c r="S134" s="461"/>
      <c r="T134" s="461"/>
      <c r="U134" s="461"/>
      <c r="V134" s="461"/>
      <c r="W134" s="461"/>
      <c r="X134" s="461"/>
      <c r="Y134" s="461"/>
    </row>
    <row r="135" spans="1:25">
      <c r="A135" s="476"/>
      <c r="B135" s="476"/>
      <c r="C135" s="476"/>
      <c r="D135" s="476"/>
      <c r="E135" s="489"/>
      <c r="F135" s="489"/>
      <c r="G135" s="490"/>
      <c r="H135" s="491"/>
      <c r="I135" s="492"/>
      <c r="J135" s="492"/>
      <c r="K135" s="492"/>
      <c r="L135" s="494"/>
      <c r="M135" s="476"/>
      <c r="N135" s="476"/>
      <c r="O135" s="476"/>
      <c r="P135" s="476"/>
      <c r="Q135" s="476"/>
      <c r="R135" s="461"/>
      <c r="S135" s="461"/>
      <c r="T135" s="461"/>
      <c r="U135" s="461"/>
      <c r="V135" s="461"/>
      <c r="W135" s="461"/>
      <c r="X135" s="461"/>
      <c r="Y135" s="461"/>
    </row>
    <row r="136" spans="1:25">
      <c r="A136" s="476"/>
      <c r="B136" s="476"/>
      <c r="C136" s="476"/>
      <c r="D136" s="476"/>
      <c r="E136" s="489"/>
      <c r="F136" s="489"/>
      <c r="G136" s="490"/>
      <c r="H136" s="491"/>
      <c r="I136" s="492"/>
      <c r="J136" s="492"/>
      <c r="K136" s="492"/>
      <c r="L136" s="494"/>
      <c r="M136" s="476"/>
      <c r="N136" s="476"/>
      <c r="O136" s="476"/>
      <c r="P136" s="476"/>
      <c r="Q136" s="476"/>
      <c r="R136" s="461"/>
      <c r="S136" s="461"/>
      <c r="T136" s="461"/>
      <c r="U136" s="461"/>
      <c r="V136" s="461"/>
      <c r="W136" s="461"/>
      <c r="X136" s="461"/>
      <c r="Y136" s="461"/>
    </row>
    <row r="137" spans="1:25">
      <c r="A137" s="476"/>
      <c r="B137" s="476"/>
      <c r="C137" s="476"/>
      <c r="D137" s="476"/>
      <c r="E137" s="489"/>
      <c r="F137" s="489"/>
      <c r="G137" s="490"/>
      <c r="H137" s="491"/>
      <c r="I137" s="492"/>
      <c r="J137" s="492"/>
      <c r="K137" s="492"/>
      <c r="L137" s="494"/>
      <c r="M137" s="476"/>
      <c r="N137" s="476"/>
      <c r="O137" s="476"/>
      <c r="P137" s="476"/>
      <c r="Q137" s="476"/>
      <c r="R137" s="461"/>
      <c r="S137" s="461"/>
      <c r="T137" s="461"/>
      <c r="U137" s="461"/>
      <c r="V137" s="461"/>
      <c r="W137" s="461"/>
      <c r="X137" s="461"/>
      <c r="Y137" s="461"/>
    </row>
    <row r="138" spans="1:25">
      <c r="A138" s="476"/>
      <c r="B138" s="476"/>
      <c r="C138" s="476"/>
      <c r="D138" s="476"/>
      <c r="E138" s="489"/>
      <c r="F138" s="489"/>
      <c r="G138" s="490"/>
      <c r="H138" s="491"/>
      <c r="I138" s="492"/>
      <c r="J138" s="492"/>
      <c r="K138" s="492"/>
      <c r="L138" s="494"/>
      <c r="M138" s="476"/>
      <c r="N138" s="476"/>
      <c r="O138" s="476"/>
      <c r="P138" s="476"/>
      <c r="Q138" s="476"/>
      <c r="R138" s="461"/>
      <c r="S138" s="461"/>
      <c r="T138" s="461"/>
      <c r="U138" s="461"/>
      <c r="V138" s="461"/>
      <c r="W138" s="461"/>
      <c r="X138" s="461"/>
      <c r="Y138" s="461"/>
    </row>
    <row r="139" spans="1:25">
      <c r="A139" s="476"/>
      <c r="B139" s="476"/>
      <c r="C139" s="476"/>
      <c r="D139" s="476"/>
      <c r="E139" s="489"/>
      <c r="F139" s="489"/>
      <c r="G139" s="490"/>
      <c r="H139" s="491"/>
      <c r="I139" s="492"/>
      <c r="J139" s="492"/>
      <c r="K139" s="492"/>
      <c r="L139" s="494"/>
      <c r="M139" s="476"/>
      <c r="N139" s="476"/>
      <c r="O139" s="476"/>
      <c r="P139" s="476"/>
      <c r="Q139" s="476"/>
      <c r="R139" s="461"/>
      <c r="S139" s="461"/>
      <c r="T139" s="461"/>
      <c r="U139" s="461"/>
      <c r="V139" s="461"/>
      <c r="W139" s="461"/>
      <c r="X139" s="461"/>
      <c r="Y139" s="461"/>
    </row>
    <row r="140" spans="1:25">
      <c r="A140" s="476"/>
      <c r="B140" s="476"/>
      <c r="C140" s="476"/>
      <c r="D140" s="476"/>
      <c r="E140" s="489"/>
      <c r="F140" s="489"/>
      <c r="G140" s="490"/>
      <c r="H140" s="491"/>
      <c r="I140" s="492"/>
      <c r="J140" s="492"/>
      <c r="K140" s="492"/>
      <c r="L140" s="494"/>
      <c r="M140" s="476"/>
      <c r="N140" s="476"/>
      <c r="O140" s="476"/>
      <c r="P140" s="476"/>
      <c r="Q140" s="476"/>
      <c r="R140" s="461"/>
      <c r="S140" s="461"/>
      <c r="T140" s="461"/>
      <c r="U140" s="461"/>
      <c r="V140" s="461"/>
      <c r="W140" s="461"/>
      <c r="X140" s="461"/>
      <c r="Y140" s="461"/>
    </row>
    <row r="141" spans="1:25">
      <c r="A141" s="476"/>
      <c r="B141" s="476"/>
      <c r="C141" s="476"/>
      <c r="D141" s="476"/>
      <c r="E141" s="489"/>
      <c r="F141" s="489"/>
      <c r="G141" s="490"/>
      <c r="H141" s="491"/>
      <c r="I141" s="492"/>
      <c r="J141" s="492"/>
      <c r="K141" s="492"/>
      <c r="L141" s="494"/>
      <c r="M141" s="476"/>
      <c r="N141" s="476"/>
      <c r="O141" s="476"/>
      <c r="P141" s="476"/>
      <c r="Q141" s="476"/>
      <c r="R141" s="461"/>
      <c r="S141" s="461"/>
      <c r="T141" s="461"/>
      <c r="U141" s="461"/>
      <c r="V141" s="461"/>
      <c r="W141" s="461"/>
      <c r="X141" s="461"/>
      <c r="Y141" s="461"/>
    </row>
    <row r="142" spans="1:25">
      <c r="A142" s="476"/>
      <c r="B142" s="476"/>
      <c r="C142" s="476"/>
      <c r="D142" s="476"/>
      <c r="E142" s="489"/>
      <c r="F142" s="489"/>
      <c r="G142" s="490"/>
      <c r="H142" s="491"/>
      <c r="I142" s="492"/>
      <c r="J142" s="492"/>
      <c r="K142" s="492"/>
      <c r="L142" s="494"/>
      <c r="M142" s="476"/>
      <c r="N142" s="476"/>
      <c r="O142" s="476"/>
      <c r="P142" s="476"/>
      <c r="Q142" s="476"/>
      <c r="R142" s="461"/>
      <c r="S142" s="461"/>
      <c r="T142" s="461"/>
      <c r="U142" s="461"/>
      <c r="V142" s="461"/>
      <c r="W142" s="461"/>
      <c r="X142" s="461"/>
      <c r="Y142" s="461"/>
    </row>
    <row r="143" spans="1:25">
      <c r="A143" s="476"/>
      <c r="B143" s="476"/>
      <c r="C143" s="476"/>
      <c r="D143" s="476"/>
      <c r="E143" s="489"/>
      <c r="F143" s="489"/>
      <c r="G143" s="490"/>
      <c r="H143" s="491"/>
      <c r="I143" s="492"/>
      <c r="J143" s="492"/>
      <c r="K143" s="492"/>
      <c r="L143" s="494"/>
      <c r="M143" s="476"/>
      <c r="N143" s="476"/>
      <c r="O143" s="476"/>
      <c r="P143" s="476"/>
      <c r="Q143" s="476"/>
      <c r="R143" s="461"/>
      <c r="S143" s="461"/>
      <c r="T143" s="461"/>
      <c r="U143" s="461"/>
      <c r="V143" s="461"/>
      <c r="W143" s="461"/>
      <c r="X143" s="461"/>
      <c r="Y143" s="461"/>
    </row>
    <row r="144" spans="1:25">
      <c r="A144" s="476"/>
      <c r="B144" s="476"/>
      <c r="C144" s="476"/>
      <c r="D144" s="476"/>
      <c r="E144" s="489"/>
      <c r="F144" s="489"/>
      <c r="G144" s="490"/>
      <c r="H144" s="491"/>
      <c r="I144" s="492"/>
      <c r="J144" s="492"/>
      <c r="K144" s="492"/>
      <c r="L144" s="494"/>
      <c r="M144" s="476"/>
      <c r="N144" s="476"/>
      <c r="O144" s="476"/>
      <c r="P144" s="476"/>
      <c r="Q144" s="476"/>
      <c r="R144" s="461"/>
      <c r="S144" s="461"/>
      <c r="T144" s="461"/>
      <c r="U144" s="461"/>
      <c r="V144" s="461"/>
      <c r="W144" s="461"/>
      <c r="X144" s="461"/>
      <c r="Y144" s="461"/>
    </row>
    <row r="145" spans="1:25">
      <c r="A145" s="476"/>
      <c r="B145" s="476"/>
      <c r="C145" s="476"/>
      <c r="D145" s="476"/>
      <c r="E145" s="489"/>
      <c r="F145" s="489"/>
      <c r="G145" s="490"/>
      <c r="H145" s="491"/>
      <c r="I145" s="492"/>
      <c r="J145" s="492"/>
      <c r="K145" s="492"/>
      <c r="L145" s="494"/>
      <c r="M145" s="476"/>
      <c r="N145" s="476"/>
      <c r="O145" s="476"/>
      <c r="P145" s="476"/>
      <c r="Q145" s="476"/>
      <c r="R145" s="461"/>
      <c r="S145" s="461"/>
      <c r="T145" s="461"/>
      <c r="U145" s="461"/>
      <c r="V145" s="461"/>
      <c r="W145" s="461"/>
      <c r="X145" s="461"/>
      <c r="Y145" s="461"/>
    </row>
    <row r="146" spans="1:25">
      <c r="A146" s="476"/>
      <c r="B146" s="476"/>
      <c r="C146" s="476"/>
      <c r="D146" s="476"/>
      <c r="E146" s="489"/>
      <c r="F146" s="489"/>
      <c r="G146" s="490"/>
      <c r="H146" s="491"/>
      <c r="I146" s="492"/>
      <c r="J146" s="492"/>
      <c r="K146" s="492"/>
      <c r="L146" s="494"/>
      <c r="M146" s="476"/>
      <c r="N146" s="476"/>
      <c r="O146" s="476"/>
      <c r="P146" s="476"/>
      <c r="Q146" s="476"/>
      <c r="R146" s="461"/>
      <c r="S146" s="461"/>
      <c r="T146" s="461"/>
      <c r="U146" s="461"/>
      <c r="V146" s="461"/>
      <c r="W146" s="461"/>
      <c r="X146" s="461"/>
      <c r="Y146" s="461"/>
    </row>
    <row r="147" spans="1:25">
      <c r="A147" s="476"/>
      <c r="B147" s="476"/>
      <c r="C147" s="476"/>
      <c r="D147" s="476"/>
      <c r="E147" s="489"/>
      <c r="F147" s="489"/>
      <c r="G147" s="490"/>
      <c r="H147" s="491"/>
      <c r="I147" s="492"/>
      <c r="J147" s="492"/>
      <c r="K147" s="492"/>
      <c r="L147" s="494"/>
      <c r="M147" s="476"/>
      <c r="N147" s="476"/>
      <c r="O147" s="476"/>
      <c r="P147" s="476"/>
      <c r="Q147" s="476"/>
      <c r="R147" s="461"/>
      <c r="S147" s="461"/>
      <c r="T147" s="461"/>
      <c r="U147" s="461"/>
      <c r="V147" s="461"/>
      <c r="W147" s="461"/>
      <c r="X147" s="461"/>
      <c r="Y147" s="461"/>
    </row>
    <row r="148" spans="1:25">
      <c r="A148" s="476"/>
      <c r="B148" s="476"/>
      <c r="C148" s="476"/>
      <c r="D148" s="476"/>
      <c r="E148" s="489"/>
      <c r="F148" s="489"/>
      <c r="G148" s="490"/>
      <c r="H148" s="491"/>
      <c r="I148" s="492"/>
      <c r="J148" s="492"/>
      <c r="K148" s="492"/>
      <c r="L148" s="494"/>
      <c r="M148" s="476"/>
      <c r="N148" s="476"/>
      <c r="O148" s="476"/>
      <c r="P148" s="476"/>
      <c r="Q148" s="476"/>
      <c r="R148" s="461"/>
      <c r="S148" s="461"/>
      <c r="T148" s="461"/>
      <c r="U148" s="461"/>
      <c r="V148" s="461"/>
      <c r="W148" s="461"/>
      <c r="X148" s="461"/>
      <c r="Y148" s="461"/>
    </row>
    <row r="149" spans="1:25">
      <c r="A149" s="476"/>
      <c r="B149" s="476"/>
      <c r="C149" s="476"/>
      <c r="D149" s="476"/>
      <c r="E149" s="489"/>
      <c r="F149" s="489"/>
      <c r="G149" s="490"/>
      <c r="H149" s="491"/>
      <c r="I149" s="492"/>
      <c r="J149" s="492"/>
      <c r="K149" s="492"/>
      <c r="L149" s="494"/>
      <c r="M149" s="476"/>
      <c r="N149" s="476"/>
      <c r="O149" s="476"/>
      <c r="P149" s="476"/>
      <c r="Q149" s="476"/>
      <c r="R149" s="461"/>
      <c r="S149" s="461"/>
      <c r="T149" s="461"/>
      <c r="U149" s="461"/>
      <c r="V149" s="461"/>
      <c r="W149" s="461"/>
      <c r="X149" s="461"/>
      <c r="Y149" s="461"/>
    </row>
    <row r="150" spans="1:25">
      <c r="A150" s="476"/>
      <c r="B150" s="476"/>
      <c r="C150" s="476"/>
      <c r="D150" s="476"/>
      <c r="E150" s="489"/>
      <c r="F150" s="489"/>
      <c r="G150" s="490"/>
      <c r="H150" s="491"/>
      <c r="I150" s="492"/>
      <c r="J150" s="492"/>
      <c r="K150" s="492"/>
      <c r="L150" s="494"/>
      <c r="M150" s="476"/>
      <c r="N150" s="476"/>
      <c r="O150" s="476"/>
      <c r="P150" s="476"/>
      <c r="Q150" s="476"/>
      <c r="R150" s="461"/>
      <c r="S150" s="461"/>
      <c r="T150" s="461"/>
      <c r="U150" s="461"/>
      <c r="V150" s="461"/>
      <c r="W150" s="461"/>
      <c r="X150" s="461"/>
      <c r="Y150" s="461"/>
    </row>
    <row r="151" spans="1:25">
      <c r="A151" s="476"/>
      <c r="B151" s="476"/>
      <c r="C151" s="476"/>
      <c r="D151" s="476"/>
      <c r="E151" s="489"/>
      <c r="F151" s="489"/>
      <c r="G151" s="490"/>
      <c r="H151" s="491"/>
      <c r="I151" s="492"/>
      <c r="J151" s="492"/>
      <c r="K151" s="492"/>
      <c r="L151" s="494"/>
      <c r="M151" s="476"/>
      <c r="N151" s="476"/>
      <c r="O151" s="476"/>
      <c r="P151" s="476"/>
      <c r="Q151" s="476"/>
      <c r="R151" s="461"/>
      <c r="S151" s="461"/>
      <c r="T151" s="461"/>
      <c r="U151" s="461"/>
      <c r="V151" s="461"/>
      <c r="W151" s="461"/>
      <c r="X151" s="461"/>
      <c r="Y151" s="461"/>
    </row>
    <row r="152" spans="1:25">
      <c r="A152" s="476"/>
      <c r="B152" s="476"/>
      <c r="C152" s="476"/>
      <c r="D152" s="476"/>
      <c r="E152" s="489"/>
      <c r="F152" s="489"/>
      <c r="G152" s="490"/>
      <c r="H152" s="491"/>
      <c r="I152" s="492"/>
      <c r="J152" s="492"/>
      <c r="K152" s="492"/>
      <c r="L152" s="494"/>
      <c r="M152" s="476"/>
      <c r="N152" s="476"/>
      <c r="O152" s="476"/>
      <c r="P152" s="476"/>
      <c r="Q152" s="476"/>
      <c r="R152" s="461"/>
      <c r="S152" s="461"/>
      <c r="T152" s="461"/>
      <c r="U152" s="461"/>
      <c r="V152" s="461"/>
      <c r="W152" s="461"/>
      <c r="X152" s="461"/>
      <c r="Y152" s="461"/>
    </row>
    <row r="153" spans="1:25">
      <c r="A153" s="476"/>
      <c r="B153" s="476"/>
      <c r="C153" s="476"/>
      <c r="D153" s="476"/>
      <c r="E153" s="489"/>
      <c r="F153" s="489"/>
      <c r="G153" s="490"/>
      <c r="H153" s="491"/>
      <c r="I153" s="492"/>
      <c r="J153" s="492"/>
      <c r="K153" s="492"/>
      <c r="L153" s="494"/>
      <c r="M153" s="476"/>
      <c r="N153" s="476"/>
      <c r="O153" s="476"/>
      <c r="P153" s="476"/>
      <c r="Q153" s="476"/>
      <c r="R153" s="461"/>
      <c r="S153" s="461"/>
      <c r="T153" s="461"/>
      <c r="U153" s="461"/>
      <c r="V153" s="461"/>
      <c r="W153" s="461"/>
      <c r="X153" s="461"/>
      <c r="Y153" s="461"/>
    </row>
    <row r="154" spans="1:25">
      <c r="A154" s="476"/>
      <c r="B154" s="476"/>
      <c r="C154" s="476"/>
      <c r="D154" s="476"/>
      <c r="E154" s="489"/>
      <c r="F154" s="489"/>
      <c r="G154" s="490"/>
      <c r="H154" s="491"/>
      <c r="I154" s="492"/>
      <c r="J154" s="492"/>
      <c r="K154" s="492"/>
      <c r="L154" s="494"/>
      <c r="M154" s="476"/>
      <c r="N154" s="476"/>
      <c r="O154" s="476"/>
      <c r="P154" s="476"/>
      <c r="Q154" s="476"/>
      <c r="R154" s="461"/>
      <c r="S154" s="461"/>
      <c r="T154" s="461"/>
      <c r="U154" s="461"/>
      <c r="V154" s="461"/>
      <c r="W154" s="461"/>
      <c r="X154" s="461"/>
      <c r="Y154" s="461"/>
    </row>
    <row r="155" spans="1:25">
      <c r="A155" s="476"/>
      <c r="B155" s="476"/>
      <c r="C155" s="476"/>
      <c r="D155" s="476"/>
      <c r="E155" s="489"/>
      <c r="F155" s="489"/>
      <c r="G155" s="490"/>
      <c r="H155" s="491"/>
      <c r="I155" s="492"/>
      <c r="J155" s="492"/>
      <c r="K155" s="492"/>
      <c r="L155" s="494"/>
      <c r="M155" s="476"/>
      <c r="N155" s="476"/>
      <c r="O155" s="476"/>
      <c r="P155" s="476"/>
      <c r="Q155" s="476"/>
      <c r="R155" s="461"/>
      <c r="S155" s="461"/>
      <c r="T155" s="461"/>
      <c r="U155" s="461"/>
      <c r="V155" s="461"/>
      <c r="W155" s="461"/>
      <c r="X155" s="461"/>
      <c r="Y155" s="461"/>
    </row>
    <row r="156" spans="1:25">
      <c r="A156" s="476"/>
      <c r="B156" s="476"/>
      <c r="C156" s="476"/>
      <c r="D156" s="476"/>
      <c r="E156" s="489"/>
      <c r="F156" s="489"/>
      <c r="G156" s="490"/>
      <c r="H156" s="491"/>
      <c r="I156" s="492"/>
      <c r="J156" s="492"/>
      <c r="K156" s="492"/>
      <c r="L156" s="494"/>
      <c r="M156" s="476"/>
      <c r="N156" s="476"/>
      <c r="O156" s="476"/>
      <c r="P156" s="476"/>
      <c r="Q156" s="476"/>
      <c r="R156" s="461"/>
      <c r="S156" s="461"/>
      <c r="T156" s="461"/>
      <c r="U156" s="461"/>
      <c r="V156" s="461"/>
      <c r="W156" s="461"/>
      <c r="X156" s="461"/>
      <c r="Y156" s="461"/>
    </row>
    <row r="157" spans="1:25">
      <c r="A157" s="476"/>
      <c r="B157" s="476"/>
      <c r="C157" s="476"/>
      <c r="D157" s="476"/>
      <c r="E157" s="489"/>
      <c r="F157" s="489"/>
      <c r="G157" s="490"/>
      <c r="H157" s="491"/>
      <c r="I157" s="492"/>
      <c r="J157" s="492"/>
      <c r="K157" s="492"/>
      <c r="L157" s="494"/>
      <c r="M157" s="476"/>
      <c r="N157" s="476"/>
      <c r="O157" s="476"/>
      <c r="P157" s="476"/>
      <c r="Q157" s="476"/>
      <c r="R157" s="461"/>
      <c r="S157" s="461"/>
      <c r="T157" s="461"/>
      <c r="U157" s="461"/>
      <c r="V157" s="461"/>
      <c r="W157" s="461"/>
      <c r="X157" s="461"/>
      <c r="Y157" s="461"/>
    </row>
    <row r="158" spans="1:25">
      <c r="A158" s="476"/>
      <c r="B158" s="476"/>
      <c r="C158" s="476"/>
      <c r="D158" s="476"/>
      <c r="E158" s="489"/>
      <c r="F158" s="489"/>
      <c r="G158" s="490"/>
      <c r="H158" s="491"/>
      <c r="I158" s="492"/>
      <c r="J158" s="492"/>
      <c r="K158" s="492"/>
      <c r="L158" s="494"/>
      <c r="M158" s="476"/>
      <c r="N158" s="476"/>
      <c r="O158" s="476"/>
      <c r="P158" s="476"/>
      <c r="Q158" s="476"/>
      <c r="R158" s="461"/>
      <c r="S158" s="461"/>
      <c r="T158" s="461"/>
      <c r="U158" s="461"/>
      <c r="V158" s="461"/>
      <c r="W158" s="461"/>
      <c r="X158" s="461"/>
      <c r="Y158" s="461"/>
    </row>
    <row r="159" spans="1:25">
      <c r="A159" s="476"/>
      <c r="B159" s="476"/>
      <c r="C159" s="476"/>
      <c r="D159" s="476"/>
      <c r="E159" s="489"/>
      <c r="F159" s="489"/>
      <c r="G159" s="490"/>
      <c r="H159" s="491"/>
      <c r="I159" s="492"/>
      <c r="J159" s="492"/>
      <c r="K159" s="492"/>
      <c r="L159" s="494"/>
      <c r="M159" s="476"/>
      <c r="N159" s="476"/>
      <c r="O159" s="476"/>
      <c r="P159" s="476"/>
      <c r="Q159" s="476"/>
      <c r="R159" s="461"/>
      <c r="S159" s="461"/>
      <c r="T159" s="461"/>
      <c r="U159" s="461"/>
      <c r="V159" s="461"/>
      <c r="W159" s="461"/>
      <c r="X159" s="461"/>
      <c r="Y159" s="461"/>
    </row>
    <row r="160" spans="1:25">
      <c r="A160" s="476"/>
      <c r="B160" s="476"/>
      <c r="C160" s="476"/>
      <c r="D160" s="476"/>
      <c r="E160" s="489"/>
      <c r="F160" s="489"/>
      <c r="G160" s="490"/>
      <c r="H160" s="491"/>
      <c r="I160" s="492"/>
      <c r="J160" s="492"/>
      <c r="K160" s="492"/>
      <c r="L160" s="494"/>
      <c r="M160" s="476"/>
      <c r="N160" s="476"/>
      <c r="O160" s="476"/>
      <c r="P160" s="476"/>
      <c r="Q160" s="476"/>
      <c r="R160" s="461"/>
      <c r="S160" s="461"/>
      <c r="T160" s="461"/>
      <c r="U160" s="461"/>
      <c r="V160" s="461"/>
      <c r="W160" s="461"/>
      <c r="X160" s="461"/>
      <c r="Y160" s="461"/>
    </row>
    <row r="161" spans="1:25">
      <c r="A161" s="476"/>
      <c r="B161" s="476"/>
      <c r="C161" s="476"/>
      <c r="D161" s="476"/>
      <c r="E161" s="489"/>
      <c r="F161" s="489"/>
      <c r="G161" s="490"/>
      <c r="H161" s="491"/>
      <c r="I161" s="492"/>
      <c r="J161" s="492"/>
      <c r="K161" s="492"/>
      <c r="L161" s="494"/>
      <c r="M161" s="476"/>
      <c r="N161" s="476"/>
      <c r="O161" s="476"/>
      <c r="P161" s="476"/>
      <c r="Q161" s="476"/>
      <c r="R161" s="461"/>
      <c r="S161" s="461"/>
      <c r="T161" s="461"/>
      <c r="U161" s="461"/>
      <c r="V161" s="461"/>
      <c r="W161" s="461"/>
      <c r="X161" s="461"/>
      <c r="Y161" s="461"/>
    </row>
    <row r="162" spans="1:25">
      <c r="A162" s="476"/>
      <c r="B162" s="476"/>
      <c r="C162" s="476"/>
      <c r="D162" s="476"/>
      <c r="E162" s="489"/>
      <c r="F162" s="489"/>
      <c r="G162" s="490"/>
      <c r="H162" s="491"/>
      <c r="I162" s="492"/>
      <c r="J162" s="492"/>
      <c r="K162" s="492"/>
      <c r="L162" s="494"/>
      <c r="M162" s="476"/>
      <c r="N162" s="476"/>
      <c r="O162" s="476"/>
      <c r="P162" s="476"/>
      <c r="Q162" s="476"/>
      <c r="R162" s="461"/>
      <c r="S162" s="461"/>
      <c r="T162" s="461"/>
      <c r="U162" s="461"/>
      <c r="V162" s="461"/>
      <c r="W162" s="461"/>
      <c r="X162" s="461"/>
      <c r="Y162" s="461"/>
    </row>
    <row r="163" spans="1:25">
      <c r="A163" s="476"/>
      <c r="B163" s="476"/>
      <c r="C163" s="476"/>
      <c r="D163" s="476"/>
      <c r="E163" s="489"/>
      <c r="F163" s="489"/>
      <c r="G163" s="490"/>
      <c r="H163" s="491"/>
      <c r="I163" s="492"/>
      <c r="J163" s="492"/>
      <c r="K163" s="492"/>
      <c r="L163" s="494"/>
      <c r="M163" s="476"/>
      <c r="N163" s="476"/>
      <c r="O163" s="476"/>
      <c r="P163" s="476"/>
      <c r="Q163" s="476"/>
      <c r="R163" s="461"/>
      <c r="S163" s="461"/>
      <c r="T163" s="461"/>
      <c r="U163" s="461"/>
      <c r="V163" s="461"/>
      <c r="W163" s="461"/>
      <c r="X163" s="461"/>
      <c r="Y163" s="461"/>
    </row>
    <row r="164" spans="1:25">
      <c r="A164" s="476"/>
      <c r="B164" s="476"/>
      <c r="C164" s="476"/>
      <c r="D164" s="476"/>
      <c r="E164" s="489"/>
      <c r="F164" s="489"/>
      <c r="G164" s="490"/>
      <c r="H164" s="491"/>
      <c r="I164" s="492"/>
      <c r="J164" s="492"/>
      <c r="K164" s="492"/>
      <c r="L164" s="494"/>
      <c r="M164" s="476"/>
      <c r="N164" s="476"/>
      <c r="O164" s="476"/>
      <c r="P164" s="476"/>
      <c r="Q164" s="476"/>
      <c r="R164" s="461"/>
      <c r="S164" s="461"/>
      <c r="T164" s="461"/>
      <c r="U164" s="461"/>
      <c r="V164" s="461"/>
      <c r="W164" s="461"/>
      <c r="X164" s="461"/>
      <c r="Y164" s="461"/>
    </row>
    <row r="165" spans="1:25">
      <c r="A165" s="476"/>
      <c r="B165" s="476"/>
      <c r="C165" s="476"/>
      <c r="D165" s="476"/>
      <c r="E165" s="489"/>
      <c r="F165" s="489"/>
      <c r="G165" s="490"/>
      <c r="H165" s="491"/>
      <c r="I165" s="492"/>
      <c r="J165" s="492"/>
      <c r="K165" s="492"/>
      <c r="L165" s="494"/>
      <c r="M165" s="476"/>
      <c r="N165" s="476"/>
      <c r="O165" s="476"/>
      <c r="P165" s="476"/>
      <c r="Q165" s="476"/>
      <c r="R165" s="461"/>
      <c r="S165" s="461"/>
      <c r="T165" s="461"/>
      <c r="U165" s="461"/>
      <c r="V165" s="461"/>
      <c r="W165" s="461"/>
      <c r="X165" s="461"/>
      <c r="Y165" s="461"/>
    </row>
    <row r="166" spans="1:25">
      <c r="A166" s="476"/>
      <c r="B166" s="476"/>
      <c r="C166" s="476"/>
      <c r="D166" s="476"/>
      <c r="E166" s="489"/>
      <c r="F166" s="489"/>
      <c r="G166" s="490"/>
      <c r="H166" s="491"/>
      <c r="I166" s="492"/>
      <c r="J166" s="492"/>
      <c r="K166" s="492"/>
      <c r="L166" s="494"/>
      <c r="M166" s="476"/>
      <c r="N166" s="476"/>
      <c r="O166" s="476"/>
      <c r="P166" s="476"/>
      <c r="Q166" s="476"/>
      <c r="R166" s="461"/>
      <c r="S166" s="461"/>
      <c r="T166" s="461"/>
      <c r="U166" s="461"/>
      <c r="V166" s="461"/>
      <c r="W166" s="461"/>
      <c r="X166" s="461"/>
      <c r="Y166" s="461"/>
    </row>
    <row r="167" spans="1:25">
      <c r="A167" s="476"/>
      <c r="B167" s="476"/>
      <c r="C167" s="476"/>
      <c r="D167" s="476"/>
      <c r="E167" s="489"/>
      <c r="F167" s="489"/>
      <c r="G167" s="490"/>
      <c r="H167" s="491"/>
      <c r="I167" s="492"/>
      <c r="J167" s="492"/>
      <c r="K167" s="492"/>
      <c r="L167" s="494"/>
      <c r="M167" s="476"/>
      <c r="N167" s="476"/>
      <c r="O167" s="476"/>
      <c r="P167" s="476"/>
      <c r="Q167" s="476"/>
      <c r="R167" s="461"/>
      <c r="S167" s="461"/>
      <c r="T167" s="461"/>
      <c r="U167" s="461"/>
      <c r="V167" s="461"/>
      <c r="W167" s="461"/>
      <c r="X167" s="461"/>
      <c r="Y167" s="461"/>
    </row>
    <row r="168" spans="1:25">
      <c r="A168" s="476"/>
      <c r="B168" s="476"/>
      <c r="C168" s="476"/>
      <c r="D168" s="476"/>
      <c r="E168" s="489"/>
      <c r="F168" s="489"/>
      <c r="G168" s="490"/>
      <c r="H168" s="491"/>
      <c r="I168" s="492"/>
      <c r="J168" s="492"/>
      <c r="K168" s="492"/>
      <c r="L168" s="494"/>
      <c r="M168" s="476"/>
      <c r="N168" s="476"/>
      <c r="O168" s="476"/>
      <c r="P168" s="476"/>
      <c r="Q168" s="476"/>
      <c r="R168" s="461"/>
      <c r="S168" s="461"/>
      <c r="T168" s="461"/>
      <c r="U168" s="461"/>
      <c r="V168" s="461"/>
      <c r="W168" s="461"/>
      <c r="X168" s="461"/>
      <c r="Y168" s="461"/>
    </row>
    <row r="169" spans="1:25">
      <c r="A169" s="476"/>
      <c r="B169" s="476"/>
      <c r="C169" s="476"/>
      <c r="D169" s="476"/>
      <c r="E169" s="489"/>
      <c r="F169" s="489"/>
      <c r="G169" s="490"/>
      <c r="H169" s="491"/>
      <c r="I169" s="492"/>
      <c r="J169" s="492"/>
      <c r="K169" s="492"/>
      <c r="L169" s="494"/>
      <c r="M169" s="476"/>
      <c r="N169" s="476"/>
      <c r="O169" s="476"/>
      <c r="P169" s="476"/>
      <c r="Q169" s="476"/>
      <c r="R169" s="461"/>
      <c r="S169" s="461"/>
      <c r="T169" s="461"/>
      <c r="U169" s="461"/>
      <c r="V169" s="461"/>
      <c r="W169" s="461"/>
      <c r="X169" s="461"/>
      <c r="Y169" s="461"/>
    </row>
    <row r="170" spans="1:25">
      <c r="A170" s="476"/>
      <c r="B170" s="476"/>
      <c r="C170" s="476"/>
      <c r="D170" s="476"/>
      <c r="E170" s="489"/>
      <c r="F170" s="489"/>
      <c r="G170" s="490"/>
      <c r="H170" s="491"/>
      <c r="I170" s="492"/>
      <c r="J170" s="492"/>
      <c r="K170" s="492"/>
      <c r="L170" s="494"/>
      <c r="M170" s="476"/>
      <c r="N170" s="476"/>
      <c r="O170" s="476"/>
      <c r="P170" s="476"/>
      <c r="Q170" s="476"/>
      <c r="R170" s="461"/>
      <c r="S170" s="461"/>
      <c r="T170" s="461"/>
      <c r="U170" s="461"/>
      <c r="V170" s="461"/>
      <c r="W170" s="461"/>
      <c r="X170" s="461"/>
      <c r="Y170" s="461"/>
    </row>
    <row r="171" spans="1:25">
      <c r="A171" s="476"/>
      <c r="B171" s="476"/>
      <c r="C171" s="476"/>
      <c r="D171" s="476"/>
      <c r="E171" s="489"/>
      <c r="F171" s="489"/>
      <c r="G171" s="490"/>
      <c r="H171" s="491"/>
      <c r="I171" s="492"/>
      <c r="J171" s="492"/>
      <c r="K171" s="492"/>
      <c r="L171" s="494"/>
      <c r="M171" s="476"/>
      <c r="N171" s="476"/>
      <c r="O171" s="476"/>
      <c r="P171" s="476"/>
      <c r="Q171" s="476"/>
      <c r="R171" s="461"/>
      <c r="S171" s="461"/>
      <c r="T171" s="461"/>
      <c r="U171" s="461"/>
      <c r="V171" s="461"/>
      <c r="W171" s="461"/>
      <c r="X171" s="461"/>
      <c r="Y171" s="461"/>
    </row>
    <row r="172" spans="1:25">
      <c r="A172" s="476"/>
      <c r="B172" s="476"/>
      <c r="C172" s="476"/>
      <c r="D172" s="476"/>
      <c r="E172" s="489"/>
      <c r="F172" s="489"/>
      <c r="G172" s="490"/>
      <c r="H172" s="491"/>
      <c r="I172" s="492"/>
      <c r="J172" s="492"/>
      <c r="K172" s="492"/>
      <c r="L172" s="494"/>
      <c r="M172" s="476"/>
      <c r="N172" s="476"/>
      <c r="O172" s="476"/>
      <c r="P172" s="476"/>
      <c r="Q172" s="476"/>
      <c r="R172" s="461"/>
      <c r="S172" s="461"/>
      <c r="T172" s="461"/>
      <c r="U172" s="461"/>
      <c r="V172" s="461"/>
      <c r="W172" s="461"/>
      <c r="X172" s="461"/>
      <c r="Y172" s="461"/>
    </row>
    <row r="173" spans="1:25">
      <c r="A173" s="476"/>
      <c r="B173" s="476"/>
      <c r="C173" s="476"/>
      <c r="D173" s="476"/>
      <c r="E173" s="489"/>
      <c r="F173" s="489"/>
      <c r="G173" s="490"/>
      <c r="H173" s="491"/>
      <c r="I173" s="492"/>
      <c r="J173" s="492"/>
      <c r="K173" s="492"/>
      <c r="L173" s="494"/>
      <c r="M173" s="476"/>
      <c r="N173" s="476"/>
      <c r="O173" s="476"/>
      <c r="P173" s="476"/>
      <c r="Q173" s="476"/>
      <c r="R173" s="461"/>
      <c r="S173" s="461"/>
      <c r="T173" s="461"/>
      <c r="U173" s="461"/>
      <c r="V173" s="461"/>
      <c r="W173" s="461"/>
      <c r="X173" s="461"/>
      <c r="Y173" s="461"/>
    </row>
    <row r="174" spans="1:25">
      <c r="A174" s="476"/>
      <c r="B174" s="476"/>
      <c r="C174" s="476"/>
      <c r="D174" s="476"/>
      <c r="E174" s="489"/>
      <c r="F174" s="489"/>
      <c r="G174" s="490"/>
      <c r="H174" s="491"/>
      <c r="I174" s="492"/>
      <c r="J174" s="492"/>
      <c r="K174" s="492"/>
      <c r="L174" s="494"/>
      <c r="M174" s="476"/>
      <c r="N174" s="476"/>
      <c r="O174" s="476"/>
      <c r="P174" s="476"/>
      <c r="Q174" s="476"/>
      <c r="R174" s="461"/>
      <c r="S174" s="461"/>
      <c r="T174" s="461"/>
      <c r="U174" s="461"/>
      <c r="V174" s="461"/>
      <c r="W174" s="461"/>
      <c r="X174" s="461"/>
      <c r="Y174" s="461"/>
    </row>
    <row r="175" spans="1:25">
      <c r="A175" s="476"/>
      <c r="B175" s="476"/>
      <c r="C175" s="476"/>
      <c r="D175" s="476"/>
      <c r="E175" s="489"/>
      <c r="F175" s="489"/>
      <c r="G175" s="490"/>
      <c r="H175" s="491"/>
      <c r="I175" s="492"/>
      <c r="J175" s="492"/>
      <c r="K175" s="492"/>
      <c r="L175" s="494"/>
      <c r="M175" s="476"/>
      <c r="N175" s="476"/>
      <c r="O175" s="476"/>
      <c r="P175" s="476"/>
      <c r="Q175" s="476"/>
      <c r="R175" s="461"/>
      <c r="S175" s="461"/>
      <c r="T175" s="461"/>
      <c r="U175" s="461"/>
      <c r="V175" s="461"/>
      <c r="W175" s="461"/>
      <c r="X175" s="461"/>
      <c r="Y175" s="461"/>
    </row>
    <row r="176" spans="1:25">
      <c r="A176" s="476"/>
      <c r="B176" s="476"/>
      <c r="C176" s="476"/>
      <c r="D176" s="476"/>
      <c r="E176" s="489"/>
      <c r="F176" s="489"/>
      <c r="G176" s="490"/>
      <c r="H176" s="491"/>
      <c r="I176" s="492"/>
      <c r="J176" s="492"/>
      <c r="K176" s="492"/>
      <c r="L176" s="494"/>
      <c r="M176" s="476"/>
      <c r="N176" s="476"/>
      <c r="O176" s="476"/>
      <c r="P176" s="476"/>
      <c r="Q176" s="476"/>
      <c r="R176" s="461"/>
      <c r="S176" s="461"/>
      <c r="T176" s="461"/>
      <c r="U176" s="461"/>
      <c r="V176" s="461"/>
      <c r="W176" s="461"/>
      <c r="X176" s="461"/>
      <c r="Y176" s="461"/>
    </row>
    <row r="177" spans="1:25">
      <c r="A177" s="476"/>
      <c r="B177" s="476"/>
      <c r="C177" s="476"/>
      <c r="D177" s="476"/>
      <c r="E177" s="489"/>
      <c r="F177" s="489"/>
      <c r="G177" s="490"/>
      <c r="H177" s="491"/>
      <c r="I177" s="492"/>
      <c r="J177" s="492"/>
      <c r="K177" s="492"/>
      <c r="L177" s="494"/>
      <c r="M177" s="476"/>
      <c r="N177" s="476"/>
      <c r="O177" s="476"/>
      <c r="P177" s="476"/>
      <c r="Q177" s="476"/>
      <c r="R177" s="461"/>
      <c r="S177" s="461"/>
      <c r="T177" s="461"/>
      <c r="U177" s="461"/>
      <c r="V177" s="461"/>
      <c r="W177" s="461"/>
      <c r="X177" s="461"/>
      <c r="Y177" s="461"/>
    </row>
    <row r="178" spans="1:25">
      <c r="A178" s="476"/>
      <c r="B178" s="476"/>
      <c r="C178" s="476"/>
      <c r="D178" s="476"/>
      <c r="E178" s="489"/>
      <c r="F178" s="489"/>
      <c r="G178" s="490"/>
      <c r="H178" s="491"/>
      <c r="I178" s="492"/>
      <c r="J178" s="492"/>
      <c r="K178" s="492"/>
      <c r="L178" s="494"/>
      <c r="M178" s="476"/>
      <c r="N178" s="476"/>
      <c r="O178" s="476"/>
      <c r="P178" s="476"/>
      <c r="Q178" s="476"/>
      <c r="R178" s="461"/>
      <c r="S178" s="461"/>
      <c r="T178" s="461"/>
      <c r="U178" s="461"/>
      <c r="V178" s="461"/>
      <c r="W178" s="461"/>
      <c r="X178" s="461"/>
      <c r="Y178" s="461"/>
    </row>
    <row r="179" spans="1:25">
      <c r="A179" s="476"/>
      <c r="B179" s="476"/>
      <c r="C179" s="476"/>
      <c r="D179" s="476"/>
      <c r="E179" s="489"/>
      <c r="F179" s="489"/>
      <c r="G179" s="490"/>
      <c r="H179" s="491"/>
      <c r="I179" s="492"/>
      <c r="J179" s="492"/>
      <c r="K179" s="492"/>
      <c r="L179" s="494"/>
      <c r="M179" s="476"/>
      <c r="N179" s="476"/>
      <c r="O179" s="476"/>
      <c r="P179" s="476"/>
      <c r="Q179" s="476"/>
      <c r="R179" s="461"/>
      <c r="S179" s="461"/>
      <c r="T179" s="461"/>
      <c r="U179" s="461"/>
      <c r="V179" s="461"/>
      <c r="W179" s="461"/>
      <c r="X179" s="461"/>
      <c r="Y179" s="461"/>
    </row>
    <row r="180" spans="1:25">
      <c r="A180" s="476"/>
      <c r="B180" s="476"/>
      <c r="C180" s="476"/>
      <c r="D180" s="476"/>
      <c r="E180" s="489"/>
      <c r="F180" s="489"/>
      <c r="G180" s="490"/>
      <c r="H180" s="491"/>
      <c r="I180" s="492"/>
      <c r="J180" s="492"/>
      <c r="K180" s="492"/>
      <c r="L180" s="494"/>
      <c r="M180" s="476"/>
      <c r="N180" s="476"/>
      <c r="O180" s="476"/>
      <c r="P180" s="476"/>
      <c r="Q180" s="476"/>
      <c r="R180" s="461"/>
      <c r="S180" s="461"/>
      <c r="T180" s="461"/>
      <c r="U180" s="461"/>
      <c r="V180" s="461"/>
      <c r="W180" s="461"/>
      <c r="X180" s="461"/>
      <c r="Y180" s="461"/>
    </row>
    <row r="181" spans="1:25">
      <c r="A181" s="476"/>
      <c r="B181" s="476"/>
      <c r="C181" s="476"/>
      <c r="D181" s="476"/>
      <c r="E181" s="489"/>
      <c r="F181" s="489"/>
      <c r="G181" s="490"/>
      <c r="H181" s="491"/>
      <c r="I181" s="492"/>
      <c r="J181" s="492"/>
      <c r="K181" s="492"/>
      <c r="L181" s="494"/>
      <c r="M181" s="476"/>
      <c r="N181" s="476"/>
      <c r="O181" s="476"/>
      <c r="P181" s="476"/>
      <c r="Q181" s="476"/>
      <c r="R181" s="461"/>
      <c r="S181" s="461"/>
      <c r="T181" s="461"/>
      <c r="U181" s="461"/>
      <c r="V181" s="461"/>
      <c r="W181" s="461"/>
      <c r="X181" s="461"/>
      <c r="Y181" s="461"/>
    </row>
    <row r="182" spans="1:25">
      <c r="A182" s="476"/>
      <c r="B182" s="476"/>
      <c r="C182" s="476"/>
      <c r="D182" s="476"/>
      <c r="E182" s="489"/>
      <c r="F182" s="489"/>
      <c r="G182" s="490"/>
      <c r="H182" s="491"/>
      <c r="I182" s="492"/>
      <c r="J182" s="492"/>
      <c r="K182" s="492"/>
      <c r="L182" s="494"/>
      <c r="M182" s="476"/>
      <c r="N182" s="476"/>
      <c r="O182" s="476"/>
      <c r="P182" s="476"/>
      <c r="Q182" s="476"/>
      <c r="R182" s="461"/>
      <c r="S182" s="461"/>
      <c r="T182" s="461"/>
      <c r="U182" s="461"/>
      <c r="V182" s="461"/>
      <c r="W182" s="461"/>
      <c r="X182" s="461"/>
      <c r="Y182" s="461"/>
    </row>
    <row r="183" spans="1:25">
      <c r="A183" s="476"/>
      <c r="B183" s="476"/>
      <c r="C183" s="476"/>
      <c r="D183" s="476"/>
      <c r="E183" s="489"/>
      <c r="F183" s="489"/>
      <c r="G183" s="490"/>
      <c r="H183" s="491"/>
      <c r="I183" s="492"/>
      <c r="J183" s="492"/>
      <c r="K183" s="492"/>
      <c r="L183" s="494"/>
      <c r="M183" s="476"/>
      <c r="N183" s="476"/>
      <c r="O183" s="476"/>
      <c r="P183" s="476"/>
      <c r="Q183" s="476"/>
      <c r="R183" s="461"/>
      <c r="S183" s="461"/>
      <c r="T183" s="461"/>
      <c r="U183" s="461"/>
      <c r="V183" s="461"/>
      <c r="W183" s="461"/>
      <c r="X183" s="461"/>
      <c r="Y183" s="461"/>
    </row>
    <row r="184" spans="1:25">
      <c r="A184" s="476"/>
      <c r="B184" s="476"/>
      <c r="C184" s="476"/>
      <c r="D184" s="476"/>
      <c r="E184" s="489"/>
      <c r="F184" s="489"/>
      <c r="G184" s="490"/>
      <c r="H184" s="491"/>
      <c r="I184" s="492"/>
      <c r="J184" s="492"/>
      <c r="K184" s="492"/>
      <c r="L184" s="494"/>
      <c r="M184" s="476"/>
      <c r="N184" s="476"/>
      <c r="O184" s="476"/>
      <c r="P184" s="476"/>
      <c r="Q184" s="476"/>
      <c r="R184" s="461"/>
      <c r="S184" s="461"/>
      <c r="T184" s="461"/>
      <c r="U184" s="461"/>
      <c r="V184" s="461"/>
      <c r="W184" s="461"/>
      <c r="X184" s="461"/>
      <c r="Y184" s="461"/>
    </row>
    <row r="185" spans="1:25">
      <c r="A185" s="476"/>
      <c r="B185" s="476"/>
      <c r="C185" s="476"/>
      <c r="D185" s="476"/>
      <c r="E185" s="489"/>
      <c r="F185" s="489"/>
      <c r="G185" s="490"/>
      <c r="H185" s="491"/>
      <c r="I185" s="492"/>
      <c r="J185" s="492"/>
      <c r="K185" s="492"/>
      <c r="L185" s="494"/>
      <c r="M185" s="476"/>
      <c r="N185" s="476"/>
      <c r="O185" s="476"/>
      <c r="P185" s="476"/>
      <c r="Q185" s="476"/>
      <c r="R185" s="461"/>
      <c r="S185" s="461"/>
      <c r="T185" s="461"/>
      <c r="U185" s="461"/>
      <c r="V185" s="461"/>
      <c r="W185" s="461"/>
      <c r="X185" s="461"/>
      <c r="Y185" s="461"/>
    </row>
    <row r="186" spans="1:25">
      <c r="A186" s="476"/>
      <c r="B186" s="476"/>
      <c r="C186" s="476"/>
      <c r="D186" s="476"/>
      <c r="E186" s="489"/>
      <c r="F186" s="489"/>
      <c r="G186" s="490"/>
      <c r="H186" s="491"/>
      <c r="I186" s="492"/>
      <c r="J186" s="492"/>
      <c r="K186" s="492"/>
      <c r="L186" s="494"/>
      <c r="M186" s="476"/>
      <c r="N186" s="476"/>
      <c r="O186" s="476"/>
      <c r="P186" s="476"/>
      <c r="Q186" s="476"/>
      <c r="R186" s="461"/>
      <c r="S186" s="461"/>
      <c r="T186" s="461"/>
      <c r="U186" s="461"/>
      <c r="V186" s="461"/>
      <c r="W186" s="461"/>
      <c r="X186" s="461"/>
      <c r="Y186" s="461"/>
    </row>
    <row r="187" spans="1:25">
      <c r="A187" s="476"/>
      <c r="B187" s="476"/>
      <c r="C187" s="476"/>
      <c r="D187" s="476"/>
      <c r="E187" s="489"/>
      <c r="F187" s="489"/>
      <c r="G187" s="490"/>
      <c r="H187" s="491"/>
      <c r="I187" s="492"/>
      <c r="J187" s="492"/>
      <c r="K187" s="492"/>
      <c r="L187" s="494"/>
      <c r="M187" s="476"/>
      <c r="N187" s="476"/>
      <c r="O187" s="476"/>
      <c r="P187" s="476"/>
      <c r="Q187" s="476"/>
      <c r="R187" s="461"/>
      <c r="S187" s="461"/>
      <c r="T187" s="461"/>
      <c r="U187" s="461"/>
      <c r="V187" s="461"/>
      <c r="W187" s="461"/>
      <c r="X187" s="461"/>
      <c r="Y187" s="461"/>
    </row>
    <row r="188" spans="1:25">
      <c r="A188" s="476"/>
      <c r="B188" s="476"/>
      <c r="C188" s="476"/>
      <c r="D188" s="476"/>
      <c r="E188" s="489"/>
      <c r="F188" s="489"/>
      <c r="G188" s="490"/>
      <c r="H188" s="491"/>
      <c r="I188" s="492"/>
      <c r="J188" s="492"/>
      <c r="K188" s="492"/>
      <c r="L188" s="494"/>
      <c r="M188" s="476"/>
      <c r="N188" s="476"/>
      <c r="O188" s="476"/>
      <c r="P188" s="476"/>
      <c r="Q188" s="476"/>
      <c r="R188" s="461"/>
      <c r="S188" s="461"/>
      <c r="T188" s="461"/>
      <c r="U188" s="461"/>
      <c r="V188" s="461"/>
      <c r="W188" s="461"/>
      <c r="X188" s="461"/>
      <c r="Y188" s="461"/>
    </row>
    <row r="189" spans="1:25">
      <c r="A189" s="476"/>
      <c r="B189" s="476"/>
      <c r="C189" s="476"/>
      <c r="D189" s="476"/>
      <c r="E189" s="489"/>
      <c r="F189" s="489"/>
      <c r="G189" s="490"/>
      <c r="H189" s="491"/>
      <c r="I189" s="492"/>
      <c r="J189" s="492"/>
      <c r="K189" s="492"/>
      <c r="L189" s="494"/>
      <c r="M189" s="476"/>
      <c r="N189" s="476"/>
      <c r="O189" s="476"/>
      <c r="P189" s="476"/>
      <c r="Q189" s="476"/>
      <c r="R189" s="461"/>
      <c r="S189" s="461"/>
      <c r="T189" s="461"/>
      <c r="U189" s="461"/>
      <c r="V189" s="461"/>
      <c r="W189" s="461"/>
      <c r="X189" s="461"/>
      <c r="Y189" s="461"/>
    </row>
    <row r="190" spans="1:25">
      <c r="A190" s="476"/>
      <c r="B190" s="476"/>
      <c r="C190" s="476"/>
      <c r="D190" s="476"/>
      <c r="E190" s="489"/>
      <c r="F190" s="489"/>
      <c r="G190" s="490"/>
      <c r="H190" s="491"/>
      <c r="I190" s="492"/>
      <c r="J190" s="492"/>
      <c r="K190" s="492"/>
      <c r="L190" s="494"/>
      <c r="M190" s="476"/>
      <c r="N190" s="476"/>
      <c r="O190" s="476"/>
      <c r="P190" s="476"/>
      <c r="Q190" s="476"/>
      <c r="R190" s="461"/>
      <c r="S190" s="461"/>
      <c r="T190" s="461"/>
      <c r="U190" s="461"/>
      <c r="V190" s="461"/>
      <c r="W190" s="461"/>
      <c r="X190" s="461"/>
      <c r="Y190" s="461"/>
    </row>
    <row r="191" spans="1:25">
      <c r="A191" s="476"/>
      <c r="B191" s="476"/>
      <c r="C191" s="476"/>
      <c r="D191" s="476"/>
      <c r="E191" s="489"/>
      <c r="F191" s="489"/>
      <c r="G191" s="490"/>
      <c r="H191" s="491"/>
      <c r="I191" s="492"/>
      <c r="J191" s="492"/>
      <c r="K191" s="492"/>
      <c r="L191" s="494"/>
      <c r="M191" s="476"/>
      <c r="N191" s="476"/>
      <c r="O191" s="476"/>
      <c r="P191" s="476"/>
      <c r="Q191" s="476"/>
      <c r="R191" s="461"/>
      <c r="S191" s="461"/>
      <c r="T191" s="461"/>
      <c r="U191" s="461"/>
      <c r="V191" s="461"/>
      <c r="W191" s="461"/>
      <c r="X191" s="461"/>
      <c r="Y191" s="461"/>
    </row>
    <row r="192" spans="1:25">
      <c r="A192" s="476"/>
      <c r="B192" s="476"/>
      <c r="C192" s="476"/>
      <c r="D192" s="476"/>
      <c r="E192" s="489"/>
      <c r="F192" s="489"/>
      <c r="G192" s="490"/>
      <c r="H192" s="491"/>
      <c r="I192" s="492"/>
      <c r="J192" s="492"/>
      <c r="K192" s="492"/>
      <c r="L192" s="494"/>
      <c r="M192" s="476"/>
      <c r="N192" s="476"/>
      <c r="O192" s="476"/>
      <c r="P192" s="476"/>
      <c r="Q192" s="476"/>
      <c r="R192" s="461"/>
      <c r="S192" s="461"/>
      <c r="T192" s="461"/>
      <c r="U192" s="461"/>
      <c r="V192" s="461"/>
      <c r="W192" s="461"/>
      <c r="X192" s="461"/>
      <c r="Y192" s="461"/>
    </row>
    <row r="193" spans="1:25">
      <c r="A193" s="476"/>
      <c r="B193" s="476"/>
      <c r="C193" s="476"/>
      <c r="D193" s="476"/>
      <c r="E193" s="489"/>
      <c r="F193" s="489"/>
      <c r="G193" s="490"/>
      <c r="H193" s="491"/>
      <c r="I193" s="492"/>
      <c r="J193" s="492"/>
      <c r="K193" s="492"/>
      <c r="L193" s="494"/>
      <c r="M193" s="476"/>
      <c r="N193" s="476"/>
      <c r="O193" s="476"/>
      <c r="P193" s="476"/>
      <c r="Q193" s="476"/>
      <c r="R193" s="461"/>
      <c r="S193" s="461"/>
      <c r="T193" s="461"/>
      <c r="U193" s="461"/>
      <c r="V193" s="461"/>
      <c r="W193" s="461"/>
      <c r="X193" s="461"/>
      <c r="Y193" s="461"/>
    </row>
    <row r="194" spans="1:25">
      <c r="A194" s="476"/>
      <c r="B194" s="476"/>
      <c r="C194" s="476"/>
      <c r="D194" s="476"/>
      <c r="E194" s="489"/>
      <c r="F194" s="489"/>
      <c r="G194" s="490"/>
      <c r="H194" s="491"/>
      <c r="I194" s="492"/>
      <c r="J194" s="492"/>
      <c r="K194" s="492"/>
      <c r="L194" s="494"/>
      <c r="M194" s="476"/>
      <c r="N194" s="476"/>
      <c r="O194" s="476"/>
      <c r="P194" s="476"/>
      <c r="Q194" s="476"/>
      <c r="R194" s="461"/>
      <c r="S194" s="461"/>
      <c r="T194" s="461"/>
      <c r="U194" s="461"/>
      <c r="V194" s="461"/>
      <c r="W194" s="461"/>
      <c r="X194" s="461"/>
      <c r="Y194" s="461"/>
    </row>
    <row r="195" spans="1:25">
      <c r="A195" s="476"/>
      <c r="B195" s="476"/>
      <c r="C195" s="476"/>
      <c r="D195" s="476"/>
      <c r="E195" s="489"/>
      <c r="F195" s="489"/>
      <c r="G195" s="490"/>
      <c r="H195" s="491"/>
      <c r="I195" s="492"/>
      <c r="J195" s="492"/>
      <c r="K195" s="492"/>
      <c r="L195" s="494"/>
      <c r="M195" s="476"/>
      <c r="N195" s="476"/>
      <c r="O195" s="476"/>
      <c r="P195" s="476"/>
      <c r="Q195" s="476"/>
      <c r="R195" s="461"/>
      <c r="S195" s="461"/>
      <c r="T195" s="461"/>
      <c r="U195" s="461"/>
      <c r="V195" s="461"/>
      <c r="W195" s="461"/>
      <c r="X195" s="461"/>
      <c r="Y195" s="461"/>
    </row>
    <row r="196" spans="1:25">
      <c r="A196" s="476"/>
      <c r="B196" s="476"/>
      <c r="C196" s="476"/>
      <c r="D196" s="476"/>
      <c r="E196" s="489"/>
      <c r="F196" s="489"/>
      <c r="G196" s="490"/>
      <c r="H196" s="491"/>
      <c r="I196" s="492"/>
      <c r="J196" s="492"/>
      <c r="K196" s="492"/>
      <c r="L196" s="494"/>
      <c r="M196" s="476"/>
      <c r="N196" s="476"/>
      <c r="O196" s="476"/>
      <c r="P196" s="476"/>
      <c r="Q196" s="476"/>
      <c r="R196" s="461"/>
      <c r="S196" s="461"/>
      <c r="T196" s="461"/>
      <c r="U196" s="461"/>
      <c r="V196" s="461"/>
      <c r="W196" s="461"/>
      <c r="X196" s="461"/>
      <c r="Y196" s="461"/>
    </row>
    <row r="197" spans="1:25">
      <c r="A197" s="476"/>
      <c r="B197" s="476"/>
      <c r="C197" s="476"/>
      <c r="D197" s="476"/>
      <c r="E197" s="489"/>
      <c r="F197" s="489"/>
      <c r="G197" s="490"/>
      <c r="H197" s="491"/>
      <c r="I197" s="492"/>
      <c r="J197" s="492"/>
      <c r="K197" s="492"/>
      <c r="L197" s="494"/>
      <c r="M197" s="476"/>
      <c r="N197" s="476"/>
      <c r="O197" s="476"/>
      <c r="P197" s="476"/>
      <c r="Q197" s="476"/>
      <c r="R197" s="461"/>
      <c r="S197" s="461"/>
      <c r="T197" s="461"/>
      <c r="U197" s="461"/>
      <c r="V197" s="461"/>
      <c r="W197" s="461"/>
      <c r="X197" s="461"/>
      <c r="Y197" s="461"/>
    </row>
    <row r="198" spans="1:25">
      <c r="A198" s="476"/>
      <c r="B198" s="476"/>
      <c r="C198" s="476"/>
      <c r="D198" s="476"/>
      <c r="E198" s="489"/>
      <c r="F198" s="489"/>
      <c r="G198" s="490"/>
      <c r="H198" s="491"/>
      <c r="I198" s="492"/>
      <c r="J198" s="492"/>
      <c r="K198" s="492"/>
      <c r="L198" s="494"/>
      <c r="M198" s="476"/>
      <c r="N198" s="476"/>
      <c r="O198" s="476"/>
      <c r="P198" s="476"/>
      <c r="Q198" s="476"/>
      <c r="R198" s="461"/>
      <c r="S198" s="461"/>
      <c r="T198" s="461"/>
      <c r="U198" s="461"/>
      <c r="V198" s="461"/>
      <c r="W198" s="461"/>
      <c r="X198" s="461"/>
      <c r="Y198" s="461"/>
    </row>
    <row r="199" spans="1:25">
      <c r="A199" s="476"/>
      <c r="B199" s="476"/>
      <c r="C199" s="476"/>
      <c r="D199" s="476"/>
      <c r="E199" s="489"/>
      <c r="F199" s="489"/>
      <c r="G199" s="490"/>
      <c r="H199" s="491"/>
      <c r="I199" s="492"/>
      <c r="J199" s="492"/>
      <c r="K199" s="492"/>
      <c r="L199" s="494"/>
      <c r="M199" s="476"/>
      <c r="N199" s="476"/>
      <c r="O199" s="476"/>
      <c r="P199" s="476"/>
      <c r="Q199" s="476"/>
      <c r="R199" s="461"/>
      <c r="S199" s="461"/>
      <c r="T199" s="461"/>
      <c r="U199" s="461"/>
      <c r="V199" s="461"/>
      <c r="W199" s="461"/>
      <c r="X199" s="461"/>
      <c r="Y199" s="461"/>
    </row>
    <row r="200" spans="1:25">
      <c r="A200" s="476"/>
      <c r="B200" s="476"/>
      <c r="C200" s="476"/>
      <c r="D200" s="476"/>
      <c r="E200" s="489"/>
      <c r="F200" s="489"/>
      <c r="G200" s="490"/>
      <c r="H200" s="491"/>
      <c r="I200" s="492"/>
      <c r="J200" s="492"/>
      <c r="K200" s="492"/>
      <c r="L200" s="494"/>
      <c r="M200" s="476"/>
      <c r="N200" s="476"/>
      <c r="O200" s="476"/>
      <c r="P200" s="476"/>
      <c r="Q200" s="476"/>
      <c r="R200" s="461"/>
      <c r="S200" s="461"/>
      <c r="T200" s="461"/>
      <c r="U200" s="461"/>
      <c r="V200" s="461"/>
      <c r="W200" s="461"/>
      <c r="X200" s="461"/>
      <c r="Y200" s="461"/>
    </row>
    <row r="201" spans="1:25">
      <c r="A201" s="476"/>
      <c r="B201" s="476"/>
      <c r="C201" s="476"/>
      <c r="D201" s="476"/>
      <c r="E201" s="489"/>
      <c r="F201" s="489"/>
      <c r="G201" s="490"/>
      <c r="H201" s="491"/>
      <c r="I201" s="492"/>
      <c r="J201" s="492"/>
      <c r="K201" s="492"/>
      <c r="L201" s="494"/>
      <c r="M201" s="476"/>
      <c r="N201" s="476"/>
      <c r="O201" s="476"/>
      <c r="P201" s="476"/>
      <c r="Q201" s="476"/>
      <c r="R201" s="461"/>
      <c r="S201" s="461"/>
      <c r="T201" s="461"/>
      <c r="U201" s="461"/>
      <c r="V201" s="461"/>
      <c r="W201" s="461"/>
      <c r="X201" s="461"/>
      <c r="Y201" s="461"/>
    </row>
    <row r="202" spans="1:25">
      <c r="A202" s="476"/>
      <c r="B202" s="476"/>
      <c r="C202" s="476"/>
      <c r="D202" s="476"/>
      <c r="E202" s="489"/>
      <c r="F202" s="489"/>
      <c r="G202" s="490"/>
      <c r="H202" s="491"/>
      <c r="I202" s="492"/>
      <c r="J202" s="492"/>
      <c r="K202" s="492"/>
      <c r="L202" s="494"/>
      <c r="M202" s="476"/>
      <c r="N202" s="476"/>
      <c r="O202" s="476"/>
      <c r="P202" s="476"/>
      <c r="Q202" s="476"/>
      <c r="R202" s="461"/>
      <c r="S202" s="461"/>
      <c r="T202" s="461"/>
      <c r="U202" s="461"/>
      <c r="V202" s="461"/>
      <c r="W202" s="461"/>
      <c r="X202" s="461"/>
      <c r="Y202" s="461"/>
    </row>
    <row r="203" spans="1:25">
      <c r="A203" s="476"/>
      <c r="B203" s="476"/>
      <c r="C203" s="476"/>
      <c r="D203" s="476"/>
      <c r="E203" s="489"/>
      <c r="F203" s="489"/>
      <c r="G203" s="490"/>
      <c r="H203" s="491"/>
      <c r="I203" s="492"/>
      <c r="J203" s="492"/>
      <c r="K203" s="492"/>
      <c r="L203" s="494"/>
      <c r="M203" s="476"/>
      <c r="N203" s="476"/>
      <c r="O203" s="476"/>
      <c r="P203" s="476"/>
      <c r="Q203" s="476"/>
      <c r="R203" s="461"/>
      <c r="S203" s="461"/>
      <c r="T203" s="461"/>
      <c r="U203" s="461"/>
      <c r="V203" s="461"/>
      <c r="W203" s="461"/>
      <c r="X203" s="461"/>
      <c r="Y203" s="461"/>
    </row>
    <row r="204" spans="1:25">
      <c r="A204" s="476"/>
      <c r="B204" s="476"/>
      <c r="C204" s="476"/>
      <c r="D204" s="476"/>
      <c r="E204" s="489"/>
      <c r="F204" s="489"/>
      <c r="G204" s="490"/>
      <c r="H204" s="491"/>
      <c r="I204" s="492"/>
      <c r="J204" s="492"/>
      <c r="K204" s="492"/>
      <c r="L204" s="494"/>
      <c r="M204" s="476"/>
      <c r="N204" s="476"/>
      <c r="O204" s="476"/>
      <c r="P204" s="476"/>
      <c r="Q204" s="476"/>
      <c r="R204" s="461"/>
      <c r="S204" s="461"/>
      <c r="T204" s="461"/>
      <c r="U204" s="461"/>
      <c r="V204" s="461"/>
      <c r="W204" s="461"/>
      <c r="X204" s="461"/>
      <c r="Y204" s="461"/>
    </row>
    <row r="205" spans="1:25">
      <c r="A205" s="476"/>
      <c r="B205" s="476"/>
      <c r="C205" s="476"/>
      <c r="D205" s="476"/>
      <c r="E205" s="489"/>
      <c r="F205" s="489"/>
      <c r="G205" s="490"/>
      <c r="H205" s="491"/>
      <c r="I205" s="492"/>
      <c r="J205" s="492"/>
      <c r="K205" s="492"/>
      <c r="L205" s="494"/>
      <c r="M205" s="476"/>
      <c r="N205" s="476"/>
      <c r="O205" s="476"/>
      <c r="P205" s="476"/>
      <c r="Q205" s="476"/>
      <c r="R205" s="461"/>
      <c r="S205" s="461"/>
      <c r="T205" s="461"/>
      <c r="U205" s="461"/>
      <c r="V205" s="461"/>
      <c r="W205" s="461"/>
      <c r="X205" s="461"/>
      <c r="Y205" s="461"/>
    </row>
    <row r="206" spans="1:25">
      <c r="A206" s="476"/>
      <c r="B206" s="476"/>
      <c r="C206" s="476"/>
      <c r="D206" s="476"/>
      <c r="E206" s="489"/>
      <c r="F206" s="489"/>
      <c r="G206" s="490"/>
      <c r="H206" s="491"/>
      <c r="I206" s="492"/>
      <c r="J206" s="492"/>
      <c r="K206" s="492"/>
      <c r="L206" s="494"/>
      <c r="M206" s="476"/>
      <c r="N206" s="476"/>
      <c r="O206" s="476"/>
      <c r="P206" s="476"/>
      <c r="Q206" s="476"/>
      <c r="R206" s="461"/>
      <c r="S206" s="461"/>
      <c r="T206" s="461"/>
      <c r="U206" s="461"/>
      <c r="V206" s="461"/>
      <c r="W206" s="461"/>
      <c r="X206" s="461"/>
      <c r="Y206" s="461"/>
    </row>
    <row r="207" spans="1:25">
      <c r="A207" s="476"/>
      <c r="B207" s="476"/>
      <c r="C207" s="476"/>
      <c r="D207" s="476"/>
      <c r="E207" s="489"/>
      <c r="F207" s="489"/>
      <c r="G207" s="490"/>
      <c r="H207" s="491"/>
      <c r="I207" s="492"/>
      <c r="J207" s="492"/>
      <c r="K207" s="492"/>
      <c r="L207" s="494"/>
      <c r="M207" s="476"/>
      <c r="N207" s="476"/>
      <c r="O207" s="476"/>
      <c r="P207" s="476"/>
      <c r="Q207" s="476"/>
      <c r="R207" s="461"/>
      <c r="S207" s="461"/>
      <c r="T207" s="461"/>
      <c r="U207" s="461"/>
      <c r="V207" s="461"/>
      <c r="W207" s="461"/>
      <c r="X207" s="461"/>
      <c r="Y207" s="461"/>
    </row>
    <row r="208" spans="1:25">
      <c r="A208" s="476"/>
      <c r="B208" s="476"/>
      <c r="C208" s="476"/>
      <c r="D208" s="476"/>
      <c r="E208" s="489"/>
      <c r="F208" s="489"/>
      <c r="G208" s="490"/>
      <c r="H208" s="491"/>
      <c r="I208" s="492"/>
      <c r="J208" s="492"/>
      <c r="K208" s="492"/>
      <c r="L208" s="494"/>
      <c r="M208" s="476"/>
      <c r="N208" s="476"/>
      <c r="O208" s="476"/>
      <c r="P208" s="476"/>
      <c r="Q208" s="476"/>
      <c r="R208" s="461"/>
      <c r="S208" s="461"/>
      <c r="T208" s="461"/>
      <c r="U208" s="461"/>
      <c r="V208" s="461"/>
      <c r="W208" s="461"/>
      <c r="X208" s="461"/>
      <c r="Y208" s="461"/>
    </row>
    <row r="209" spans="1:25">
      <c r="A209" s="476"/>
      <c r="B209" s="476"/>
      <c r="C209" s="476"/>
      <c r="D209" s="476"/>
      <c r="E209" s="489"/>
      <c r="F209" s="489"/>
      <c r="G209" s="490"/>
      <c r="H209" s="491"/>
      <c r="I209" s="492"/>
      <c r="J209" s="492"/>
      <c r="K209" s="492"/>
      <c r="L209" s="494"/>
      <c r="M209" s="476"/>
      <c r="N209" s="476"/>
      <c r="O209" s="476"/>
      <c r="P209" s="476"/>
      <c r="Q209" s="476"/>
      <c r="R209" s="461"/>
      <c r="S209" s="461"/>
      <c r="T209" s="461"/>
      <c r="U209" s="461"/>
      <c r="V209" s="461"/>
      <c r="W209" s="461"/>
      <c r="X209" s="461"/>
      <c r="Y209" s="461"/>
    </row>
    <row r="210" spans="1:25">
      <c r="A210" s="476"/>
      <c r="B210" s="476"/>
      <c r="C210" s="476"/>
      <c r="D210" s="476"/>
      <c r="E210" s="489"/>
      <c r="F210" s="489"/>
      <c r="G210" s="490"/>
      <c r="H210" s="491"/>
      <c r="I210" s="492"/>
      <c r="J210" s="492"/>
      <c r="K210" s="492"/>
      <c r="L210" s="494"/>
      <c r="M210" s="476"/>
      <c r="N210" s="476"/>
      <c r="O210" s="476"/>
      <c r="P210" s="476"/>
      <c r="Q210" s="476"/>
      <c r="R210" s="461"/>
      <c r="S210" s="461"/>
      <c r="T210" s="461"/>
      <c r="U210" s="461"/>
      <c r="V210" s="461"/>
      <c r="W210" s="461"/>
      <c r="X210" s="461"/>
      <c r="Y210" s="461"/>
    </row>
    <row r="211" spans="1:25">
      <c r="A211" s="476"/>
      <c r="B211" s="476"/>
      <c r="C211" s="476"/>
      <c r="D211" s="476"/>
      <c r="E211" s="489"/>
      <c r="F211" s="489"/>
      <c r="G211" s="490"/>
      <c r="H211" s="491"/>
      <c r="I211" s="492"/>
      <c r="J211" s="492"/>
      <c r="K211" s="492"/>
      <c r="L211" s="494"/>
      <c r="M211" s="476"/>
      <c r="N211" s="476"/>
      <c r="O211" s="476"/>
      <c r="P211" s="476"/>
      <c r="Q211" s="476"/>
      <c r="R211" s="461"/>
      <c r="S211" s="461"/>
      <c r="T211" s="461"/>
      <c r="U211" s="461"/>
      <c r="V211" s="461"/>
      <c r="W211" s="461"/>
      <c r="X211" s="461"/>
      <c r="Y211" s="461"/>
    </row>
    <row r="212" spans="1:25">
      <c r="A212" s="476"/>
      <c r="B212" s="476"/>
      <c r="C212" s="476"/>
      <c r="D212" s="476"/>
      <c r="E212" s="489"/>
      <c r="F212" s="489"/>
      <c r="G212" s="490"/>
      <c r="H212" s="491"/>
      <c r="I212" s="492"/>
      <c r="J212" s="492"/>
      <c r="K212" s="492"/>
      <c r="L212" s="494"/>
      <c r="M212" s="476"/>
      <c r="N212" s="476"/>
      <c r="O212" s="476"/>
      <c r="P212" s="476"/>
      <c r="Q212" s="476"/>
      <c r="R212" s="461"/>
      <c r="S212" s="461"/>
      <c r="T212" s="461"/>
      <c r="U212" s="461"/>
      <c r="V212" s="461"/>
      <c r="W212" s="461"/>
      <c r="X212" s="461"/>
      <c r="Y212" s="461"/>
    </row>
    <row r="213" spans="1:25">
      <c r="A213" s="476"/>
      <c r="B213" s="476"/>
      <c r="C213" s="476"/>
      <c r="D213" s="476"/>
      <c r="E213" s="489"/>
      <c r="F213" s="489"/>
      <c r="G213" s="490"/>
      <c r="H213" s="491"/>
      <c r="I213" s="492"/>
      <c r="J213" s="492"/>
      <c r="K213" s="492"/>
      <c r="L213" s="494"/>
      <c r="M213" s="476"/>
      <c r="N213" s="476"/>
      <c r="O213" s="476"/>
      <c r="P213" s="476"/>
      <c r="Q213" s="476"/>
      <c r="R213" s="461"/>
      <c r="S213" s="461"/>
      <c r="T213" s="461"/>
      <c r="U213" s="461"/>
      <c r="V213" s="461"/>
      <c r="W213" s="461"/>
      <c r="X213" s="461"/>
      <c r="Y213" s="461"/>
    </row>
    <row r="214" spans="1:25">
      <c r="A214" s="476"/>
      <c r="B214" s="476"/>
      <c r="C214" s="476"/>
      <c r="D214" s="476"/>
      <c r="E214" s="489"/>
      <c r="F214" s="489"/>
      <c r="G214" s="490"/>
      <c r="H214" s="491"/>
      <c r="I214" s="492"/>
      <c r="J214" s="492"/>
      <c r="K214" s="492"/>
      <c r="L214" s="494"/>
      <c r="M214" s="476"/>
      <c r="N214" s="476"/>
      <c r="O214" s="476"/>
      <c r="P214" s="476"/>
      <c r="Q214" s="476"/>
      <c r="R214" s="461"/>
      <c r="S214" s="461"/>
      <c r="T214" s="461"/>
      <c r="U214" s="461"/>
      <c r="V214" s="461"/>
      <c r="W214" s="461"/>
      <c r="X214" s="461"/>
      <c r="Y214" s="461"/>
    </row>
    <row r="215" spans="1:25">
      <c r="A215" s="476"/>
      <c r="B215" s="476"/>
      <c r="C215" s="476"/>
      <c r="D215" s="476"/>
      <c r="E215" s="489"/>
      <c r="F215" s="489"/>
      <c r="G215" s="490"/>
      <c r="H215" s="491"/>
      <c r="I215" s="492"/>
      <c r="J215" s="492"/>
      <c r="K215" s="492"/>
      <c r="L215" s="494"/>
      <c r="M215" s="476"/>
      <c r="N215" s="476"/>
      <c r="O215" s="476"/>
      <c r="P215" s="476"/>
      <c r="Q215" s="476"/>
      <c r="R215" s="461"/>
      <c r="S215" s="461"/>
      <c r="T215" s="461"/>
      <c r="U215" s="461"/>
      <c r="V215" s="461"/>
      <c r="W215" s="461"/>
      <c r="X215" s="461"/>
      <c r="Y215" s="461"/>
    </row>
    <row r="216" spans="1:25">
      <c r="A216" s="476"/>
      <c r="B216" s="476"/>
      <c r="C216" s="476"/>
      <c r="D216" s="476"/>
      <c r="E216" s="489"/>
      <c r="F216" s="489"/>
      <c r="G216" s="490"/>
      <c r="H216" s="491"/>
      <c r="I216" s="492"/>
      <c r="J216" s="492"/>
      <c r="K216" s="492"/>
      <c r="L216" s="494"/>
      <c r="M216" s="476"/>
      <c r="N216" s="476"/>
      <c r="O216" s="476"/>
      <c r="P216" s="476"/>
      <c r="Q216" s="476"/>
      <c r="R216" s="461"/>
      <c r="S216" s="461"/>
      <c r="T216" s="461"/>
      <c r="U216" s="461"/>
      <c r="V216" s="461"/>
      <c r="W216" s="461"/>
      <c r="X216" s="461"/>
      <c r="Y216" s="461"/>
    </row>
    <row r="217" spans="1:25">
      <c r="A217" s="476"/>
      <c r="B217" s="476"/>
      <c r="C217" s="476"/>
      <c r="D217" s="476"/>
      <c r="E217" s="489"/>
      <c r="F217" s="489"/>
      <c r="G217" s="490"/>
      <c r="H217" s="491"/>
      <c r="I217" s="492"/>
      <c r="J217" s="492"/>
      <c r="K217" s="492"/>
      <c r="L217" s="494"/>
      <c r="M217" s="476"/>
      <c r="N217" s="476"/>
      <c r="O217" s="476"/>
      <c r="P217" s="476"/>
      <c r="Q217" s="476"/>
      <c r="R217" s="461"/>
      <c r="S217" s="461"/>
      <c r="T217" s="461"/>
      <c r="U217" s="461"/>
      <c r="V217" s="461"/>
      <c r="W217" s="461"/>
      <c r="X217" s="461"/>
      <c r="Y217" s="461"/>
    </row>
    <row r="218" spans="1:25">
      <c r="A218" s="476"/>
      <c r="B218" s="476"/>
      <c r="C218" s="476"/>
      <c r="D218" s="476"/>
      <c r="E218" s="489"/>
      <c r="F218" s="489"/>
      <c r="G218" s="490"/>
      <c r="H218" s="491"/>
      <c r="I218" s="492"/>
      <c r="J218" s="492"/>
      <c r="K218" s="492"/>
      <c r="L218" s="494"/>
      <c r="M218" s="476"/>
      <c r="N218" s="476"/>
      <c r="O218" s="476"/>
      <c r="P218" s="476"/>
      <c r="Q218" s="476"/>
      <c r="R218" s="461"/>
      <c r="S218" s="461"/>
      <c r="T218" s="461"/>
      <c r="U218" s="461"/>
      <c r="V218" s="461"/>
      <c r="W218" s="461"/>
      <c r="X218" s="461"/>
      <c r="Y218" s="461"/>
    </row>
    <row r="219" spans="1:25">
      <c r="A219" s="476"/>
      <c r="B219" s="476"/>
      <c r="C219" s="476"/>
      <c r="D219" s="476"/>
      <c r="E219" s="489"/>
      <c r="F219" s="489"/>
      <c r="G219" s="490"/>
      <c r="H219" s="491"/>
      <c r="I219" s="492"/>
      <c r="J219" s="492"/>
      <c r="K219" s="492"/>
      <c r="L219" s="494"/>
      <c r="M219" s="476"/>
      <c r="N219" s="476"/>
      <c r="O219" s="476"/>
      <c r="P219" s="476"/>
      <c r="Q219" s="476"/>
      <c r="R219" s="461"/>
      <c r="S219" s="461"/>
      <c r="T219" s="461"/>
      <c r="U219" s="461"/>
      <c r="V219" s="461"/>
      <c r="W219" s="461"/>
      <c r="X219" s="461"/>
      <c r="Y219" s="461"/>
    </row>
    <row r="220" spans="1:25">
      <c r="A220" s="476"/>
      <c r="B220" s="476"/>
      <c r="C220" s="476"/>
      <c r="D220" s="476"/>
      <c r="E220" s="489"/>
      <c r="F220" s="489"/>
      <c r="G220" s="490"/>
      <c r="H220" s="491"/>
      <c r="I220" s="492"/>
      <c r="J220" s="492"/>
      <c r="K220" s="492"/>
      <c r="L220" s="494"/>
      <c r="M220" s="476"/>
      <c r="N220" s="476"/>
      <c r="O220" s="476"/>
      <c r="P220" s="476"/>
      <c r="Q220" s="476"/>
      <c r="R220" s="476"/>
      <c r="S220" s="476"/>
      <c r="T220" s="476"/>
      <c r="U220" s="476"/>
      <c r="V220" s="476"/>
      <c r="W220" s="476"/>
      <c r="X220" s="476"/>
      <c r="Y220" s="476"/>
    </row>
    <row r="221" spans="1:25">
      <c r="A221" s="476"/>
      <c r="B221" s="476"/>
      <c r="C221" s="476"/>
      <c r="D221" s="476"/>
      <c r="E221" s="489"/>
      <c r="F221" s="489"/>
      <c r="G221" s="490"/>
      <c r="H221" s="491"/>
      <c r="I221" s="492"/>
      <c r="J221" s="492"/>
      <c r="K221" s="492"/>
      <c r="L221" s="494"/>
      <c r="M221" s="476"/>
      <c r="N221" s="476"/>
      <c r="O221" s="476"/>
      <c r="P221" s="476"/>
      <c r="Q221" s="476"/>
      <c r="R221" s="476"/>
      <c r="S221" s="476"/>
      <c r="T221" s="476"/>
      <c r="U221" s="476"/>
      <c r="V221" s="476"/>
      <c r="W221" s="476"/>
      <c r="X221" s="476"/>
      <c r="Y221" s="476"/>
    </row>
    <row r="222" spans="1:25">
      <c r="A222" s="476"/>
      <c r="B222" s="476"/>
      <c r="C222" s="476"/>
      <c r="D222" s="476"/>
      <c r="E222" s="489"/>
      <c r="F222" s="489"/>
      <c r="G222" s="490"/>
      <c r="H222" s="491"/>
      <c r="I222" s="492"/>
      <c r="J222" s="492"/>
      <c r="K222" s="492"/>
      <c r="L222" s="494"/>
      <c r="M222" s="476"/>
      <c r="N222" s="476"/>
      <c r="O222" s="476"/>
      <c r="P222" s="476"/>
      <c r="Q222" s="476"/>
      <c r="R222" s="476"/>
      <c r="S222" s="476"/>
      <c r="T222" s="476"/>
      <c r="U222" s="476"/>
      <c r="V222" s="476"/>
      <c r="W222" s="476"/>
      <c r="X222" s="476"/>
      <c r="Y222" s="476"/>
    </row>
    <row r="223" spans="1:25">
      <c r="A223" s="476"/>
      <c r="B223" s="476"/>
      <c r="C223" s="476"/>
      <c r="D223" s="476"/>
      <c r="E223" s="489"/>
      <c r="F223" s="489"/>
      <c r="G223" s="490"/>
      <c r="H223" s="491"/>
      <c r="I223" s="492"/>
      <c r="J223" s="492"/>
      <c r="K223" s="492"/>
      <c r="L223" s="494"/>
      <c r="M223" s="476"/>
      <c r="N223" s="476"/>
      <c r="O223" s="476"/>
      <c r="P223" s="476"/>
      <c r="Q223" s="476"/>
      <c r="R223" s="476"/>
      <c r="S223" s="476"/>
      <c r="T223" s="476"/>
      <c r="U223" s="476"/>
      <c r="V223" s="476"/>
      <c r="W223" s="476"/>
      <c r="X223" s="476"/>
      <c r="Y223" s="476"/>
    </row>
    <row r="224" spans="1:25">
      <c r="A224" s="476"/>
      <c r="B224" s="476"/>
      <c r="C224" s="476"/>
      <c r="D224" s="476"/>
      <c r="E224" s="489"/>
      <c r="F224" s="489"/>
      <c r="G224" s="490"/>
      <c r="H224" s="491"/>
      <c r="I224" s="492"/>
      <c r="J224" s="492"/>
      <c r="K224" s="492"/>
      <c r="L224" s="494"/>
      <c r="M224" s="476"/>
      <c r="N224" s="476"/>
      <c r="O224" s="476"/>
      <c r="P224" s="476"/>
      <c r="Q224" s="476"/>
      <c r="R224" s="476"/>
      <c r="S224" s="476"/>
      <c r="T224" s="476"/>
      <c r="U224" s="476"/>
      <c r="V224" s="476"/>
      <c r="W224" s="476"/>
      <c r="X224" s="476"/>
      <c r="Y224" s="476"/>
    </row>
    <row r="225" spans="1:25">
      <c r="A225" s="476"/>
      <c r="B225" s="476"/>
      <c r="C225" s="476"/>
      <c r="D225" s="476"/>
      <c r="E225" s="489"/>
      <c r="F225" s="489"/>
      <c r="G225" s="490"/>
      <c r="H225" s="491"/>
      <c r="I225" s="492"/>
      <c r="J225" s="492"/>
      <c r="K225" s="492"/>
      <c r="L225" s="494"/>
      <c r="M225" s="476"/>
      <c r="N225" s="476"/>
      <c r="O225" s="476"/>
      <c r="P225" s="476"/>
      <c r="Q225" s="476"/>
      <c r="R225" s="476"/>
      <c r="S225" s="476"/>
      <c r="T225" s="476"/>
      <c r="U225" s="476"/>
      <c r="V225" s="476"/>
      <c r="W225" s="476"/>
      <c r="X225" s="476"/>
      <c r="Y225" s="476"/>
    </row>
    <row r="226" spans="1:25">
      <c r="A226" s="476"/>
      <c r="B226" s="476"/>
      <c r="C226" s="476"/>
      <c r="D226" s="476"/>
      <c r="E226" s="489"/>
      <c r="F226" s="489"/>
      <c r="G226" s="490"/>
      <c r="H226" s="491"/>
      <c r="I226" s="492"/>
      <c r="J226" s="492"/>
      <c r="K226" s="492"/>
      <c r="L226" s="494"/>
      <c r="M226" s="476"/>
      <c r="N226" s="476"/>
      <c r="O226" s="476"/>
      <c r="P226" s="476"/>
      <c r="Q226" s="476"/>
      <c r="R226" s="476"/>
      <c r="S226" s="476"/>
      <c r="T226" s="476"/>
      <c r="U226" s="476"/>
      <c r="V226" s="476"/>
      <c r="W226" s="476"/>
      <c r="X226" s="476"/>
      <c r="Y226" s="476"/>
    </row>
    <row r="227" spans="1:25">
      <c r="A227" s="476"/>
      <c r="B227" s="476"/>
      <c r="C227" s="476"/>
      <c r="D227" s="476"/>
      <c r="E227" s="489"/>
      <c r="F227" s="489"/>
      <c r="G227" s="490"/>
      <c r="H227" s="491"/>
      <c r="I227" s="492"/>
      <c r="J227" s="492"/>
      <c r="K227" s="492"/>
      <c r="L227" s="494"/>
      <c r="M227" s="476"/>
      <c r="N227" s="476"/>
      <c r="O227" s="476"/>
      <c r="P227" s="476"/>
      <c r="Q227" s="476"/>
      <c r="R227" s="476"/>
      <c r="S227" s="476"/>
      <c r="T227" s="476"/>
      <c r="U227" s="476"/>
      <c r="V227" s="476"/>
      <c r="W227" s="476"/>
      <c r="X227" s="476"/>
      <c r="Y227" s="476"/>
    </row>
    <row r="228" spans="1:25">
      <c r="A228" s="476"/>
      <c r="B228" s="476"/>
      <c r="C228" s="476"/>
      <c r="D228" s="476"/>
      <c r="E228" s="489"/>
      <c r="F228" s="489"/>
      <c r="G228" s="490"/>
      <c r="H228" s="491"/>
      <c r="I228" s="492"/>
      <c r="J228" s="492"/>
      <c r="K228" s="492"/>
      <c r="L228" s="494"/>
      <c r="M228" s="476"/>
      <c r="N228" s="476"/>
      <c r="O228" s="476"/>
      <c r="P228" s="476"/>
      <c r="Q228" s="476"/>
      <c r="R228" s="476"/>
      <c r="S228" s="476"/>
      <c r="T228" s="476"/>
      <c r="U228" s="476"/>
      <c r="V228" s="476"/>
      <c r="W228" s="476"/>
      <c r="X228" s="476"/>
      <c r="Y228" s="476"/>
    </row>
    <row r="229" spans="1:25">
      <c r="A229" s="476"/>
      <c r="B229" s="476"/>
      <c r="C229" s="476"/>
      <c r="D229" s="476"/>
      <c r="E229" s="489"/>
      <c r="F229" s="489"/>
      <c r="G229" s="490"/>
      <c r="H229" s="491"/>
      <c r="I229" s="492"/>
      <c r="J229" s="492"/>
      <c r="K229" s="492"/>
      <c r="L229" s="494"/>
      <c r="M229" s="476"/>
      <c r="N229" s="476"/>
      <c r="O229" s="476"/>
      <c r="P229" s="476"/>
      <c r="Q229" s="476"/>
      <c r="R229" s="476"/>
      <c r="S229" s="476"/>
      <c r="T229" s="476"/>
      <c r="U229" s="476"/>
      <c r="V229" s="476"/>
      <c r="W229" s="476"/>
      <c r="X229" s="476"/>
      <c r="Y229" s="476"/>
    </row>
    <row r="230" spans="1:25">
      <c r="A230" s="476"/>
      <c r="B230" s="476"/>
      <c r="C230" s="476"/>
      <c r="D230" s="476"/>
      <c r="E230" s="489"/>
      <c r="F230" s="489"/>
      <c r="G230" s="490"/>
      <c r="H230" s="491"/>
      <c r="I230" s="492"/>
      <c r="J230" s="492"/>
      <c r="K230" s="492"/>
      <c r="L230" s="494"/>
      <c r="M230" s="476"/>
      <c r="N230" s="476"/>
      <c r="O230" s="476"/>
      <c r="P230" s="476"/>
      <c r="Q230" s="476"/>
      <c r="R230" s="476"/>
      <c r="S230" s="476"/>
      <c r="T230" s="476"/>
      <c r="U230" s="476"/>
      <c r="V230" s="476"/>
      <c r="W230" s="476"/>
      <c r="X230" s="476"/>
      <c r="Y230" s="476"/>
    </row>
    <row r="231" spans="1:25">
      <c r="A231" s="476"/>
      <c r="B231" s="476"/>
      <c r="C231" s="476"/>
      <c r="D231" s="476"/>
      <c r="E231" s="489"/>
      <c r="F231" s="489"/>
      <c r="G231" s="490"/>
      <c r="H231" s="491"/>
      <c r="I231" s="492"/>
      <c r="J231" s="492"/>
      <c r="K231" s="492"/>
      <c r="L231" s="494"/>
      <c r="M231" s="476"/>
      <c r="N231" s="476"/>
      <c r="O231" s="476"/>
      <c r="P231" s="476"/>
      <c r="Q231" s="476"/>
      <c r="R231" s="476"/>
      <c r="S231" s="476"/>
      <c r="T231" s="476"/>
      <c r="U231" s="476"/>
      <c r="V231" s="476"/>
      <c r="W231" s="476"/>
      <c r="X231" s="476"/>
      <c r="Y231" s="476"/>
    </row>
    <row r="232" spans="1:25">
      <c r="A232" s="476"/>
      <c r="B232" s="476"/>
      <c r="C232" s="476"/>
      <c r="D232" s="476"/>
      <c r="E232" s="489"/>
      <c r="F232" s="489"/>
      <c r="G232" s="490"/>
      <c r="H232" s="491"/>
      <c r="I232" s="492"/>
      <c r="J232" s="492"/>
      <c r="K232" s="492"/>
      <c r="L232" s="494"/>
      <c r="M232" s="476"/>
      <c r="N232" s="476"/>
      <c r="O232" s="476"/>
      <c r="P232" s="476"/>
      <c r="Q232" s="476"/>
      <c r="R232" s="476"/>
      <c r="S232" s="476"/>
      <c r="T232" s="476"/>
      <c r="U232" s="476"/>
      <c r="V232" s="476"/>
      <c r="W232" s="476"/>
      <c r="X232" s="476"/>
      <c r="Y232" s="476"/>
    </row>
    <row r="233" spans="1:25">
      <c r="A233" s="476"/>
      <c r="B233" s="476"/>
      <c r="C233" s="476"/>
      <c r="D233" s="476"/>
      <c r="E233" s="489"/>
      <c r="F233" s="489"/>
      <c r="G233" s="490"/>
      <c r="H233" s="491"/>
      <c r="I233" s="492"/>
      <c r="J233" s="492"/>
      <c r="K233" s="492"/>
      <c r="L233" s="494"/>
      <c r="M233" s="476"/>
      <c r="N233" s="476"/>
      <c r="O233" s="476"/>
      <c r="P233" s="476"/>
      <c r="Q233" s="476"/>
      <c r="R233" s="476"/>
      <c r="S233" s="476"/>
      <c r="T233" s="476"/>
      <c r="U233" s="476"/>
      <c r="V233" s="476"/>
      <c r="W233" s="476"/>
      <c r="X233" s="476"/>
      <c r="Y233" s="476"/>
    </row>
    <row r="234" spans="1:25">
      <c r="A234" s="476"/>
      <c r="B234" s="476"/>
      <c r="C234" s="476"/>
      <c r="D234" s="476"/>
      <c r="E234" s="489"/>
      <c r="F234" s="489"/>
      <c r="G234" s="490"/>
      <c r="H234" s="491"/>
      <c r="I234" s="492"/>
      <c r="J234" s="492"/>
      <c r="K234" s="492"/>
      <c r="L234" s="494"/>
      <c r="M234" s="476"/>
      <c r="N234" s="476"/>
      <c r="O234" s="476"/>
      <c r="P234" s="476"/>
      <c r="Q234" s="476"/>
      <c r="R234" s="476"/>
      <c r="S234" s="476"/>
      <c r="T234" s="476"/>
      <c r="U234" s="476"/>
      <c r="V234" s="476"/>
      <c r="W234" s="476"/>
      <c r="X234" s="476"/>
      <c r="Y234" s="476"/>
    </row>
    <row r="235" spans="1:25">
      <c r="A235" s="476"/>
      <c r="B235" s="476"/>
      <c r="C235" s="476"/>
      <c r="D235" s="476"/>
      <c r="E235" s="489"/>
      <c r="F235" s="489"/>
      <c r="G235" s="490"/>
      <c r="H235" s="491"/>
      <c r="I235" s="492"/>
      <c r="J235" s="492"/>
      <c r="K235" s="492"/>
      <c r="L235" s="494"/>
      <c r="M235" s="476"/>
      <c r="N235" s="476"/>
      <c r="O235" s="476"/>
      <c r="P235" s="476"/>
      <c r="Q235" s="476"/>
      <c r="R235" s="476"/>
      <c r="S235" s="476"/>
      <c r="T235" s="476"/>
      <c r="U235" s="476"/>
      <c r="V235" s="476"/>
      <c r="W235" s="476"/>
      <c r="X235" s="476"/>
      <c r="Y235" s="476"/>
    </row>
    <row r="236" spans="1:25">
      <c r="A236" s="476"/>
      <c r="B236" s="476"/>
      <c r="C236" s="476"/>
      <c r="D236" s="476"/>
      <c r="E236" s="489"/>
      <c r="F236" s="489"/>
      <c r="G236" s="490"/>
      <c r="H236" s="491"/>
      <c r="I236" s="492"/>
      <c r="J236" s="492"/>
      <c r="K236" s="492"/>
      <c r="L236" s="494"/>
      <c r="M236" s="476"/>
      <c r="N236" s="476"/>
      <c r="O236" s="476"/>
      <c r="P236" s="476"/>
      <c r="Q236" s="476"/>
      <c r="R236" s="476"/>
      <c r="S236" s="476"/>
      <c r="T236" s="476"/>
      <c r="U236" s="476"/>
      <c r="V236" s="476"/>
      <c r="W236" s="476"/>
      <c r="X236" s="476"/>
      <c r="Y236" s="476"/>
    </row>
    <row r="237" spans="1:25">
      <c r="A237" s="476"/>
      <c r="B237" s="476"/>
      <c r="C237" s="476"/>
      <c r="D237" s="476"/>
      <c r="E237" s="489"/>
      <c r="F237" s="489"/>
      <c r="G237" s="490"/>
      <c r="H237" s="491"/>
      <c r="I237" s="492"/>
      <c r="J237" s="492"/>
      <c r="K237" s="492"/>
      <c r="L237" s="494"/>
      <c r="M237" s="476"/>
      <c r="N237" s="476"/>
      <c r="O237" s="476"/>
      <c r="P237" s="476"/>
      <c r="Q237" s="476"/>
      <c r="R237" s="476"/>
      <c r="S237" s="476"/>
      <c r="T237" s="476"/>
      <c r="U237" s="476"/>
      <c r="V237" s="476"/>
      <c r="W237" s="476"/>
      <c r="X237" s="476"/>
      <c r="Y237" s="476"/>
    </row>
    <row r="238" spans="1:25">
      <c r="A238" s="476"/>
      <c r="B238" s="476"/>
      <c r="C238" s="476"/>
      <c r="D238" s="476"/>
      <c r="E238" s="489"/>
      <c r="F238" s="489"/>
      <c r="G238" s="490"/>
      <c r="H238" s="491"/>
      <c r="I238" s="492"/>
      <c r="J238" s="492"/>
      <c r="K238" s="492"/>
      <c r="L238" s="494"/>
      <c r="M238" s="476"/>
      <c r="N238" s="476"/>
      <c r="O238" s="476"/>
      <c r="P238" s="476"/>
      <c r="Q238" s="476"/>
      <c r="R238" s="476"/>
      <c r="S238" s="476"/>
      <c r="T238" s="476"/>
      <c r="U238" s="476"/>
      <c r="V238" s="476"/>
      <c r="W238" s="476"/>
      <c r="X238" s="476"/>
      <c r="Y238" s="476"/>
    </row>
    <row r="239" spans="1:25">
      <c r="A239" s="476"/>
      <c r="B239" s="476"/>
      <c r="C239" s="476"/>
      <c r="D239" s="476"/>
      <c r="E239" s="489"/>
      <c r="F239" s="489"/>
      <c r="G239" s="490"/>
      <c r="H239" s="491"/>
      <c r="I239" s="492"/>
      <c r="J239" s="492"/>
      <c r="K239" s="492"/>
      <c r="L239" s="494"/>
      <c r="M239" s="476"/>
      <c r="N239" s="476"/>
      <c r="O239" s="476"/>
      <c r="P239" s="476"/>
      <c r="Q239" s="476"/>
      <c r="R239" s="476"/>
      <c r="S239" s="476"/>
      <c r="T239" s="476"/>
      <c r="U239" s="476"/>
      <c r="V239" s="476"/>
      <c r="W239" s="476"/>
      <c r="X239" s="476"/>
      <c r="Y239" s="476"/>
    </row>
    <row r="240" spans="1:25">
      <c r="A240" s="476"/>
      <c r="B240" s="476"/>
      <c r="C240" s="476"/>
      <c r="D240" s="476"/>
      <c r="E240" s="489"/>
      <c r="F240" s="489"/>
      <c r="G240" s="490"/>
      <c r="H240" s="491"/>
      <c r="I240" s="492"/>
      <c r="J240" s="492"/>
      <c r="K240" s="492"/>
      <c r="L240" s="494"/>
      <c r="M240" s="476"/>
      <c r="N240" s="476"/>
      <c r="O240" s="476"/>
      <c r="P240" s="476"/>
      <c r="Q240" s="476"/>
      <c r="R240" s="476"/>
      <c r="S240" s="476"/>
      <c r="T240" s="476"/>
      <c r="U240" s="476"/>
      <c r="V240" s="476"/>
      <c r="W240" s="476"/>
      <c r="X240" s="476"/>
      <c r="Y240" s="476"/>
    </row>
    <row r="241" spans="1:25">
      <c r="A241" s="476"/>
      <c r="B241" s="476"/>
      <c r="C241" s="476"/>
      <c r="D241" s="476"/>
      <c r="E241" s="489"/>
      <c r="F241" s="489"/>
      <c r="G241" s="490"/>
      <c r="H241" s="491"/>
      <c r="I241" s="492"/>
      <c r="J241" s="492"/>
      <c r="K241" s="492"/>
      <c r="L241" s="494"/>
      <c r="M241" s="476"/>
      <c r="N241" s="476"/>
      <c r="O241" s="476"/>
      <c r="P241" s="476"/>
      <c r="Q241" s="476"/>
      <c r="R241" s="476"/>
      <c r="S241" s="476"/>
      <c r="T241" s="476"/>
      <c r="U241" s="476"/>
      <c r="V241" s="476"/>
      <c r="W241" s="476"/>
      <c r="X241" s="476"/>
      <c r="Y241" s="476"/>
    </row>
    <row r="242" spans="1:25">
      <c r="A242" s="476"/>
      <c r="B242" s="476"/>
      <c r="C242" s="476"/>
      <c r="D242" s="476"/>
      <c r="E242" s="489"/>
      <c r="F242" s="489"/>
      <c r="G242" s="490"/>
      <c r="H242" s="491"/>
      <c r="I242" s="492"/>
      <c r="J242" s="492"/>
      <c r="K242" s="492"/>
      <c r="L242" s="494"/>
      <c r="M242" s="476"/>
      <c r="N242" s="476"/>
      <c r="O242" s="476"/>
      <c r="P242" s="476"/>
      <c r="Q242" s="476"/>
      <c r="R242" s="476"/>
      <c r="S242" s="476"/>
      <c r="T242" s="476"/>
      <c r="U242" s="476"/>
      <c r="V242" s="476"/>
      <c r="W242" s="476"/>
      <c r="X242" s="476"/>
      <c r="Y242" s="476"/>
    </row>
    <row r="243" spans="1:25">
      <c r="A243" s="476"/>
      <c r="B243" s="476"/>
      <c r="C243" s="476"/>
      <c r="D243" s="476"/>
      <c r="E243" s="489"/>
      <c r="F243" s="489"/>
      <c r="G243" s="490"/>
      <c r="H243" s="491"/>
      <c r="I243" s="492"/>
      <c r="J243" s="492"/>
      <c r="K243" s="492"/>
      <c r="L243" s="494"/>
      <c r="M243" s="476"/>
      <c r="N243" s="476"/>
      <c r="O243" s="476"/>
      <c r="P243" s="476"/>
      <c r="Q243" s="476"/>
      <c r="R243" s="476"/>
      <c r="S243" s="476"/>
      <c r="T243" s="476"/>
      <c r="U243" s="476"/>
      <c r="V243" s="476"/>
      <c r="W243" s="476"/>
      <c r="X243" s="476"/>
      <c r="Y243" s="476"/>
    </row>
    <row r="244" spans="1:25">
      <c r="A244" s="476"/>
      <c r="B244" s="476"/>
      <c r="C244" s="476"/>
      <c r="D244" s="476"/>
      <c r="E244" s="489"/>
      <c r="F244" s="489"/>
      <c r="G244" s="490"/>
      <c r="H244" s="491"/>
      <c r="I244" s="492"/>
      <c r="J244" s="492"/>
      <c r="K244" s="492"/>
      <c r="L244" s="494"/>
      <c r="M244" s="476"/>
      <c r="N244" s="476"/>
      <c r="O244" s="476"/>
      <c r="P244" s="476"/>
      <c r="Q244" s="476"/>
      <c r="R244" s="476"/>
      <c r="S244" s="476"/>
      <c r="T244" s="476"/>
      <c r="U244" s="476"/>
      <c r="V244" s="476"/>
      <c r="W244" s="476"/>
      <c r="X244" s="476"/>
      <c r="Y244" s="476"/>
    </row>
    <row r="245" spans="1:25">
      <c r="A245" s="476"/>
      <c r="B245" s="476"/>
      <c r="C245" s="476"/>
      <c r="D245" s="476"/>
      <c r="E245" s="489"/>
      <c r="F245" s="489"/>
      <c r="G245" s="490"/>
      <c r="H245" s="491"/>
      <c r="I245" s="492"/>
      <c r="J245" s="492"/>
      <c r="K245" s="492"/>
      <c r="L245" s="494"/>
      <c r="M245" s="476"/>
      <c r="N245" s="476"/>
      <c r="O245" s="476"/>
      <c r="P245" s="476"/>
      <c r="Q245" s="476"/>
      <c r="R245" s="476"/>
      <c r="S245" s="476"/>
      <c r="T245" s="476"/>
      <c r="U245" s="476"/>
      <c r="V245" s="476"/>
      <c r="W245" s="476"/>
      <c r="X245" s="476"/>
      <c r="Y245" s="476"/>
    </row>
    <row r="246" spans="1:25">
      <c r="A246" s="476"/>
      <c r="B246" s="476"/>
      <c r="C246" s="476"/>
      <c r="D246" s="476"/>
      <c r="E246" s="489"/>
      <c r="F246" s="489"/>
      <c r="G246" s="490"/>
      <c r="H246" s="491"/>
      <c r="I246" s="492"/>
      <c r="J246" s="492"/>
      <c r="K246" s="492"/>
      <c r="L246" s="494"/>
      <c r="M246" s="476"/>
      <c r="N246" s="476"/>
      <c r="O246" s="476"/>
      <c r="P246" s="476"/>
      <c r="Q246" s="476"/>
      <c r="R246" s="476"/>
      <c r="S246" s="476"/>
      <c r="T246" s="476"/>
      <c r="U246" s="476"/>
      <c r="V246" s="476"/>
      <c r="W246" s="476"/>
      <c r="X246" s="476"/>
      <c r="Y246" s="476"/>
    </row>
    <row r="247" spans="1:25">
      <c r="A247" s="476"/>
      <c r="B247" s="476"/>
      <c r="C247" s="476"/>
      <c r="D247" s="476"/>
      <c r="E247" s="489"/>
      <c r="F247" s="489"/>
      <c r="G247" s="490"/>
      <c r="H247" s="491"/>
      <c r="I247" s="492"/>
      <c r="J247" s="492"/>
      <c r="K247" s="492"/>
      <c r="L247" s="494"/>
      <c r="M247" s="476"/>
      <c r="N247" s="476"/>
      <c r="O247" s="476"/>
      <c r="P247" s="476"/>
      <c r="Q247" s="476"/>
      <c r="R247" s="476"/>
      <c r="S247" s="476"/>
      <c r="T247" s="476"/>
      <c r="U247" s="476"/>
      <c r="V247" s="476"/>
      <c r="W247" s="476"/>
      <c r="X247" s="476"/>
      <c r="Y247" s="476"/>
    </row>
    <row r="248" spans="1:25">
      <c r="A248" s="476"/>
      <c r="B248" s="476"/>
      <c r="C248" s="476"/>
      <c r="D248" s="476"/>
      <c r="E248" s="489"/>
      <c r="F248" s="489"/>
      <c r="G248" s="490"/>
      <c r="H248" s="491"/>
      <c r="I248" s="492"/>
      <c r="J248" s="492"/>
      <c r="K248" s="492"/>
      <c r="L248" s="494"/>
      <c r="M248" s="476"/>
      <c r="N248" s="476"/>
      <c r="O248" s="476"/>
      <c r="P248" s="476"/>
      <c r="Q248" s="476"/>
      <c r="R248" s="476"/>
      <c r="S248" s="476"/>
      <c r="T248" s="476"/>
      <c r="U248" s="476"/>
      <c r="V248" s="476"/>
      <c r="W248" s="476"/>
      <c r="X248" s="476"/>
      <c r="Y248" s="476"/>
    </row>
    <row r="249" spans="1:25">
      <c r="A249" s="476"/>
      <c r="B249" s="476"/>
      <c r="C249" s="476"/>
      <c r="D249" s="476"/>
      <c r="E249" s="489"/>
      <c r="F249" s="489"/>
      <c r="G249" s="490"/>
      <c r="H249" s="491"/>
      <c r="I249" s="492"/>
      <c r="J249" s="492"/>
      <c r="K249" s="492"/>
      <c r="L249" s="494"/>
      <c r="M249" s="476"/>
      <c r="N249" s="476"/>
      <c r="O249" s="476"/>
      <c r="P249" s="476"/>
      <c r="Q249" s="476"/>
      <c r="R249" s="476"/>
      <c r="S249" s="476"/>
      <c r="T249" s="476"/>
      <c r="U249" s="476"/>
      <c r="V249" s="476"/>
      <c r="W249" s="476"/>
      <c r="X249" s="476"/>
      <c r="Y249" s="476"/>
    </row>
    <row r="250" spans="1:25">
      <c r="A250" s="476"/>
      <c r="B250" s="476"/>
      <c r="C250" s="476"/>
      <c r="D250" s="476"/>
      <c r="E250" s="489"/>
      <c r="F250" s="489"/>
      <c r="G250" s="490"/>
      <c r="H250" s="491"/>
      <c r="I250" s="492"/>
      <c r="J250" s="492"/>
      <c r="K250" s="492"/>
      <c r="L250" s="494"/>
      <c r="M250" s="476"/>
      <c r="N250" s="476"/>
      <c r="O250" s="476"/>
      <c r="P250" s="476"/>
      <c r="Q250" s="476"/>
      <c r="R250" s="476"/>
      <c r="S250" s="476"/>
      <c r="T250" s="476"/>
      <c r="U250" s="476"/>
      <c r="V250" s="476"/>
      <c r="W250" s="476"/>
      <c r="X250" s="476"/>
      <c r="Y250" s="476"/>
    </row>
    <row r="251" spans="1:25">
      <c r="A251" s="476"/>
      <c r="B251" s="476"/>
      <c r="C251" s="476"/>
      <c r="D251" s="476"/>
      <c r="E251" s="489"/>
      <c r="F251" s="489"/>
      <c r="G251" s="490"/>
      <c r="H251" s="491"/>
      <c r="I251" s="492"/>
      <c r="J251" s="492"/>
      <c r="K251" s="492"/>
      <c r="L251" s="494"/>
      <c r="M251" s="476"/>
      <c r="N251" s="476"/>
      <c r="O251" s="476"/>
      <c r="P251" s="476"/>
      <c r="Q251" s="476"/>
      <c r="R251" s="476"/>
      <c r="S251" s="476"/>
      <c r="T251" s="476"/>
      <c r="U251" s="476"/>
      <c r="V251" s="476"/>
      <c r="W251" s="476"/>
      <c r="X251" s="476"/>
      <c r="Y251" s="476"/>
    </row>
    <row r="252" spans="1:25">
      <c r="A252" s="476"/>
      <c r="B252" s="476"/>
      <c r="C252" s="476"/>
      <c r="D252" s="476"/>
      <c r="E252" s="489"/>
      <c r="F252" s="489"/>
      <c r="G252" s="490"/>
      <c r="H252" s="491"/>
      <c r="I252" s="492"/>
      <c r="J252" s="492"/>
      <c r="K252" s="492"/>
      <c r="L252" s="494"/>
      <c r="M252" s="476"/>
      <c r="N252" s="476"/>
      <c r="O252" s="476"/>
      <c r="P252" s="476"/>
      <c r="Q252" s="476"/>
      <c r="R252" s="476"/>
      <c r="S252" s="476"/>
      <c r="T252" s="476"/>
      <c r="U252" s="476"/>
      <c r="V252" s="476"/>
      <c r="W252" s="476"/>
      <c r="X252" s="476"/>
      <c r="Y252" s="476"/>
    </row>
    <row r="253" spans="1:25">
      <c r="A253" s="476"/>
      <c r="B253" s="476"/>
      <c r="C253" s="476"/>
      <c r="D253" s="476"/>
      <c r="E253" s="489"/>
      <c r="F253" s="489"/>
      <c r="G253" s="490"/>
      <c r="H253" s="491"/>
      <c r="I253" s="492"/>
      <c r="J253" s="492"/>
      <c r="K253" s="492"/>
      <c r="L253" s="494"/>
      <c r="M253" s="476"/>
      <c r="N253" s="476"/>
      <c r="O253" s="476"/>
      <c r="P253" s="476"/>
      <c r="Q253" s="476"/>
      <c r="R253" s="476"/>
      <c r="S253" s="476"/>
      <c r="T253" s="476"/>
      <c r="U253" s="476"/>
      <c r="V253" s="476"/>
      <c r="W253" s="476"/>
      <c r="X253" s="476"/>
      <c r="Y253" s="476"/>
    </row>
    <row r="254" spans="1:25">
      <c r="A254" s="476"/>
      <c r="B254" s="476"/>
      <c r="C254" s="476"/>
      <c r="D254" s="476"/>
      <c r="E254" s="489"/>
      <c r="F254" s="489"/>
      <c r="G254" s="490"/>
      <c r="H254" s="491"/>
      <c r="I254" s="492"/>
      <c r="J254" s="492"/>
      <c r="K254" s="492"/>
      <c r="L254" s="494"/>
      <c r="M254" s="476"/>
      <c r="N254" s="476"/>
      <c r="O254" s="476"/>
      <c r="P254" s="476"/>
      <c r="Q254" s="476"/>
      <c r="R254" s="476"/>
      <c r="S254" s="476"/>
      <c r="T254" s="476"/>
      <c r="U254" s="476"/>
      <c r="V254" s="476"/>
      <c r="W254" s="476"/>
      <c r="X254" s="476"/>
      <c r="Y254" s="476"/>
    </row>
    <row r="255" spans="1:25">
      <c r="A255" s="476"/>
      <c r="B255" s="476"/>
      <c r="C255" s="476"/>
      <c r="D255" s="476"/>
      <c r="E255" s="489"/>
      <c r="F255" s="489"/>
      <c r="G255" s="490"/>
      <c r="H255" s="491"/>
      <c r="I255" s="492"/>
      <c r="J255" s="492"/>
      <c r="K255" s="492"/>
      <c r="L255" s="494"/>
      <c r="M255" s="476"/>
      <c r="N255" s="476"/>
      <c r="O255" s="476"/>
      <c r="P255" s="476"/>
      <c r="Q255" s="476"/>
      <c r="R255" s="476"/>
      <c r="S255" s="476"/>
      <c r="T255" s="476"/>
      <c r="U255" s="476"/>
      <c r="V255" s="476"/>
      <c r="W255" s="476"/>
      <c r="X255" s="476"/>
      <c r="Y255" s="476"/>
    </row>
    <row r="256" spans="1:25">
      <c r="A256" s="476"/>
      <c r="B256" s="476"/>
      <c r="C256" s="476"/>
      <c r="D256" s="476"/>
      <c r="E256" s="489"/>
      <c r="F256" s="489"/>
      <c r="G256" s="490"/>
      <c r="H256" s="491"/>
      <c r="I256" s="492"/>
      <c r="J256" s="492"/>
      <c r="K256" s="492"/>
      <c r="L256" s="494"/>
      <c r="M256" s="476"/>
      <c r="N256" s="476"/>
      <c r="O256" s="476"/>
      <c r="P256" s="476"/>
      <c r="Q256" s="476"/>
      <c r="R256" s="476"/>
      <c r="S256" s="476"/>
      <c r="T256" s="476"/>
      <c r="U256" s="476"/>
      <c r="V256" s="476"/>
      <c r="W256" s="476"/>
      <c r="X256" s="476"/>
      <c r="Y256" s="476"/>
    </row>
    <row r="257" spans="1:25">
      <c r="A257" s="476"/>
      <c r="B257" s="476"/>
      <c r="C257" s="476"/>
      <c r="D257" s="476"/>
      <c r="E257" s="489"/>
      <c r="F257" s="489"/>
      <c r="G257" s="490"/>
      <c r="H257" s="491"/>
      <c r="I257" s="492"/>
      <c r="J257" s="492"/>
      <c r="K257" s="492"/>
      <c r="L257" s="494"/>
      <c r="M257" s="476"/>
      <c r="N257" s="476"/>
      <c r="O257" s="476"/>
      <c r="P257" s="476"/>
      <c r="Q257" s="476"/>
      <c r="R257" s="476"/>
      <c r="S257" s="476"/>
      <c r="T257" s="476"/>
      <c r="U257" s="476"/>
      <c r="V257" s="476"/>
      <c r="W257" s="476"/>
      <c r="X257" s="476"/>
      <c r="Y257" s="476"/>
    </row>
    <row r="258" spans="1:25">
      <c r="A258" s="476"/>
      <c r="B258" s="476"/>
      <c r="C258" s="476"/>
      <c r="D258" s="476"/>
      <c r="E258" s="489"/>
      <c r="F258" s="489"/>
      <c r="G258" s="490"/>
      <c r="H258" s="491"/>
      <c r="I258" s="492"/>
      <c r="J258" s="492"/>
      <c r="K258" s="492"/>
      <c r="L258" s="494"/>
      <c r="M258" s="476"/>
      <c r="N258" s="476"/>
      <c r="O258" s="476"/>
      <c r="P258" s="476"/>
      <c r="Q258" s="476"/>
      <c r="R258" s="476"/>
      <c r="S258" s="476"/>
      <c r="T258" s="476"/>
      <c r="U258" s="476"/>
      <c r="V258" s="476"/>
      <c r="W258" s="476"/>
      <c r="X258" s="476"/>
      <c r="Y258" s="476"/>
    </row>
    <row r="259" spans="1:25">
      <c r="A259" s="476"/>
      <c r="B259" s="476"/>
      <c r="C259" s="476"/>
      <c r="D259" s="476"/>
      <c r="E259" s="489"/>
      <c r="F259" s="489"/>
      <c r="G259" s="490"/>
      <c r="H259" s="491"/>
      <c r="I259" s="492"/>
      <c r="J259" s="492"/>
      <c r="K259" s="492"/>
      <c r="L259" s="494"/>
      <c r="M259" s="476"/>
      <c r="N259" s="476"/>
      <c r="O259" s="476"/>
      <c r="P259" s="476"/>
      <c r="Q259" s="476"/>
      <c r="R259" s="476"/>
      <c r="S259" s="476"/>
      <c r="T259" s="476"/>
      <c r="U259" s="476"/>
      <c r="V259" s="476"/>
      <c r="W259" s="476"/>
      <c r="X259" s="476"/>
      <c r="Y259" s="476"/>
    </row>
  </sheetData>
  <dataConsolidate/>
  <mergeCells count="59">
    <mergeCell ref="E34:F34"/>
    <mergeCell ref="G34:I34"/>
    <mergeCell ref="E35:F35"/>
    <mergeCell ref="G35:I35"/>
    <mergeCell ref="E31:F31"/>
    <mergeCell ref="G31:I31"/>
    <mergeCell ref="E32:F32"/>
    <mergeCell ref="G32:I32"/>
    <mergeCell ref="E33:F33"/>
    <mergeCell ref="G33:I33"/>
    <mergeCell ref="E28:F28"/>
    <mergeCell ref="G28:I28"/>
    <mergeCell ref="E29:F29"/>
    <mergeCell ref="G29:I29"/>
    <mergeCell ref="E30:F30"/>
    <mergeCell ref="G30:I30"/>
    <mergeCell ref="E25:F25"/>
    <mergeCell ref="G25:I25"/>
    <mergeCell ref="E26:F26"/>
    <mergeCell ref="G26:I26"/>
    <mergeCell ref="E27:F27"/>
    <mergeCell ref="G27:I27"/>
    <mergeCell ref="E22:F22"/>
    <mergeCell ref="G22:I22"/>
    <mergeCell ref="E23:F23"/>
    <mergeCell ref="G23:I23"/>
    <mergeCell ref="E24:F24"/>
    <mergeCell ref="G24:I24"/>
    <mergeCell ref="E19:F19"/>
    <mergeCell ref="G19:I19"/>
    <mergeCell ref="E20:F20"/>
    <mergeCell ref="G20:I20"/>
    <mergeCell ref="E21:F21"/>
    <mergeCell ref="G21:I21"/>
    <mergeCell ref="E18:F18"/>
    <mergeCell ref="G18:I18"/>
    <mergeCell ref="E12:F12"/>
    <mergeCell ref="G12:I12"/>
    <mergeCell ref="E13:F13"/>
    <mergeCell ref="G13:I13"/>
    <mergeCell ref="E14:F14"/>
    <mergeCell ref="G14:I14"/>
    <mergeCell ref="G15:I15"/>
    <mergeCell ref="E16:F16"/>
    <mergeCell ref="G16:I16"/>
    <mergeCell ref="E17:F17"/>
    <mergeCell ref="G17:I17"/>
    <mergeCell ref="E9:F9"/>
    <mergeCell ref="G9:I9"/>
    <mergeCell ref="E10:F10"/>
    <mergeCell ref="G10:I10"/>
    <mergeCell ref="E11:F11"/>
    <mergeCell ref="G11:I11"/>
    <mergeCell ref="E5:H5"/>
    <mergeCell ref="G6:I6"/>
    <mergeCell ref="E7:F7"/>
    <mergeCell ref="G7:I7"/>
    <mergeCell ref="E8:F8"/>
    <mergeCell ref="G8:I8"/>
  </mergeCells>
  <pageMargins left="0.7" right="0.7" top="0.75" bottom="0.75" header="0.3" footer="0.3"/>
  <pageSetup paperSize="9" scale="1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Intro</vt:lpstr>
      <vt:lpstr>Input</vt:lpstr>
      <vt:lpstr>Adjustment for previous period</vt:lpstr>
      <vt:lpstr>Actual RAB roll forward</vt:lpstr>
      <vt:lpstr>Total actual RAB roll forward</vt:lpstr>
      <vt:lpstr>Asset lives roll forward</vt:lpstr>
      <vt:lpstr>Tax value roll forward</vt:lpstr>
      <vt:lpstr>PTRM Tax Inputs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Fenella Douglas</cp:lastModifiedBy>
  <cp:lastPrinted>2007-07-24T06:51:35Z</cp:lastPrinted>
  <dcterms:created xsi:type="dcterms:W3CDTF">2000-02-13T23:07:37Z</dcterms:created>
  <dcterms:modified xsi:type="dcterms:W3CDTF">2015-12-31T01:56:58Z</dcterms:modified>
</cp:coreProperties>
</file>