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codeName="ThisWorkbook"/>
  <bookViews>
    <workbookView xWindow="990" yWindow="-120" windowWidth="27930" windowHeight="16440" tabRatio="896"/>
  </bookViews>
  <sheets>
    <sheet name="Output" sheetId="72" r:id="rId1"/>
    <sheet name="Summary" sheetId="70" r:id="rId2"/>
    <sheet name="Assumptions" sheetId="74" r:id="rId3"/>
    <sheet name="Fleet" sheetId="69" r:id="rId4"/>
    <sheet name="Tools_Equip" sheetId="76" r:id="rId5"/>
    <sheet name="Facilities" sheetId="79" r:id="rId6"/>
    <sheet name="Building" sheetId="77" r:id="rId7"/>
    <sheet name="Depot" sheetId="71" r:id="rId8"/>
    <sheet name="Disposal" sheetId="82" r:id="rId9"/>
  </sheets>
  <externalReferences>
    <externalReference r:id="rId10"/>
  </externalReferences>
  <definedNames>
    <definedName name="Conv_2021" localSheetId="5">[1]Assumptions!$B$17</definedName>
    <definedName name="Conv_2021">Assumptions!$B$18</definedName>
    <definedName name="Option0_categories" localSheetId="8">#REF!</definedName>
    <definedName name="Option0_categories">#REF!</definedName>
    <definedName name="Option0_costs" localSheetId="8">#REF!</definedName>
    <definedName name="Option0_costs">#REF!</definedName>
    <definedName name="Option1_categories" localSheetId="6">Building!$C$21:$C$23</definedName>
    <definedName name="Option1_categories" localSheetId="4">Tools_Equip!$C$21:$C$23</definedName>
    <definedName name="Option1_categories">Fleet!$C$21:$C$23</definedName>
    <definedName name="Option1_costs" localSheetId="6">Building!$M$21:$Q$23</definedName>
    <definedName name="Option1_costs" localSheetId="4">Tools_Equip!$S$21:$W$23</definedName>
    <definedName name="Option1_costs">Fleet!$S$21:$W$23</definedName>
    <definedName name="Option1IT_categories">'[1]Option 1 IT'!$C$44:$C$49</definedName>
    <definedName name="Option1IT_costs">'[1]Option 1 IT'!$R$44:$V$49</definedName>
    <definedName name="Option1Property_categories">Facilities!$C$44:$C$55</definedName>
    <definedName name="Option1Property_costs">Facilities!$R$44:$V$55</definedName>
    <definedName name="Option2_categories" localSheetId="8">Disposal!#REF!</definedName>
    <definedName name="Option2_categories">Depot!$C$61:$C$69</definedName>
    <definedName name="Option2_costs" localSheetId="6">Depot!#REF!</definedName>
    <definedName name="Option2_costs" localSheetId="8">Disposal!#REF!</definedName>
    <definedName name="Option2_costs">Depot!#REF!</definedName>
    <definedName name="Option2IT_categories">'[1]Option 2 IT'!$C$44:$C$49</definedName>
    <definedName name="Option2IT_costs">'[1]Option 2 IT'!$R$44:$V$49</definedName>
    <definedName name="Option2Property_categories">'[1]Option 2 Property'!$C$44:$C$55</definedName>
    <definedName name="Option2Property_costs">'[1]Option 2 Property'!$R$44:$V$55</definedName>
    <definedName name="_xlnm.Print_Area" localSheetId="1">Summary!$A$1:$J$10</definedName>
    <definedName name="years" localSheetId="6">Building!$M$8:$Q$8</definedName>
    <definedName name="years" localSheetId="5">'[1]Option 1 IT'!$R$8:$V$8</definedName>
    <definedName name="years" localSheetId="4">Tools_Equip!$S$8:$W$8</definedName>
    <definedName name="years">Fleet!$S$8:$W$8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10" i="72" l="1"/>
  <c r="E14" i="74"/>
  <c r="F14" i="74"/>
  <c r="G14" i="74"/>
  <c r="L10" i="76"/>
  <c r="M10" i="76"/>
  <c r="N10" i="76"/>
  <c r="H14" i="74"/>
  <c r="I14" i="74"/>
  <c r="J14" i="74"/>
  <c r="O10" i="76"/>
  <c r="P10" i="76"/>
  <c r="S10" i="76"/>
  <c r="S11" i="76"/>
  <c r="S12" i="76"/>
  <c r="S13" i="76"/>
  <c r="S14" i="76"/>
  <c r="S15" i="76"/>
  <c r="S16" i="76"/>
  <c r="S21" i="76"/>
  <c r="B16" i="74"/>
  <c r="B18" i="74"/>
  <c r="F15" i="72"/>
  <c r="G10" i="72"/>
  <c r="S22" i="76"/>
  <c r="G15" i="72"/>
  <c r="H10" i="72"/>
  <c r="J10" i="72"/>
  <c r="K10" i="72"/>
  <c r="M10" i="72"/>
  <c r="N10" i="72"/>
  <c r="P10" i="72"/>
  <c r="Q10" i="72"/>
  <c r="S10" i="72"/>
  <c r="T10" i="72"/>
  <c r="S23" i="76"/>
  <c r="H15" i="72"/>
  <c r="T10" i="76"/>
  <c r="T11" i="76"/>
  <c r="T12" i="76"/>
  <c r="T13" i="76"/>
  <c r="T14" i="76"/>
  <c r="T15" i="76"/>
  <c r="T16" i="76"/>
  <c r="T21" i="76"/>
  <c r="I15" i="72"/>
  <c r="T22" i="76"/>
  <c r="J15" i="72"/>
  <c r="T23" i="76"/>
  <c r="K15" i="72"/>
  <c r="U10" i="76"/>
  <c r="U11" i="76"/>
  <c r="U12" i="76"/>
  <c r="U13" i="76"/>
  <c r="U14" i="76"/>
  <c r="U15" i="76"/>
  <c r="U16" i="76"/>
  <c r="U21" i="76"/>
  <c r="L15" i="72"/>
  <c r="U22" i="76"/>
  <c r="M15" i="72"/>
  <c r="U23" i="76"/>
  <c r="N15" i="72"/>
  <c r="V10" i="76"/>
  <c r="V11" i="76"/>
  <c r="V12" i="76"/>
  <c r="V13" i="76"/>
  <c r="V14" i="76"/>
  <c r="V15" i="76"/>
  <c r="V16" i="76"/>
  <c r="V21" i="76"/>
  <c r="O15" i="72"/>
  <c r="V22" i="76"/>
  <c r="P15" i="72"/>
  <c r="V23" i="76"/>
  <c r="Q15" i="72"/>
  <c r="W10" i="76"/>
  <c r="W11" i="76"/>
  <c r="W12" i="76"/>
  <c r="W13" i="76"/>
  <c r="W14" i="76"/>
  <c r="W15" i="76"/>
  <c r="W16" i="76"/>
  <c r="W21" i="76"/>
  <c r="R15" i="72"/>
  <c r="W22" i="76"/>
  <c r="S15" i="72"/>
  <c r="W23" i="76"/>
  <c r="T15" i="72"/>
  <c r="V15" i="72"/>
  <c r="R10" i="79"/>
  <c r="R11" i="79"/>
  <c r="R12" i="79"/>
  <c r="R13" i="79"/>
  <c r="R14" i="79"/>
  <c r="R15" i="79"/>
  <c r="R16" i="79"/>
  <c r="R17" i="79"/>
  <c r="R18" i="79"/>
  <c r="R20" i="79"/>
  <c r="R21" i="79"/>
  <c r="R22" i="79"/>
  <c r="R23" i="79"/>
  <c r="R24" i="79"/>
  <c r="R25" i="79"/>
  <c r="R26" i="79"/>
  <c r="R27" i="79"/>
  <c r="R28" i="79"/>
  <c r="R30" i="79"/>
  <c r="R31" i="79"/>
  <c r="R32" i="79"/>
  <c r="R33" i="79"/>
  <c r="R34" i="79"/>
  <c r="R35" i="79"/>
  <c r="R36" i="79"/>
  <c r="R37" i="79"/>
  <c r="R38" i="79"/>
  <c r="R39" i="79"/>
  <c r="R40" i="79"/>
  <c r="R44" i="79"/>
  <c r="R45" i="79"/>
  <c r="R46" i="79"/>
  <c r="R47" i="79"/>
  <c r="M21" i="77"/>
  <c r="L10" i="69"/>
  <c r="M10" i="69"/>
  <c r="N10" i="69"/>
  <c r="O10" i="69"/>
  <c r="P10" i="69"/>
  <c r="Q10" i="69"/>
  <c r="S10" i="69"/>
  <c r="S11" i="69"/>
  <c r="S12" i="69"/>
  <c r="S13" i="69"/>
  <c r="S14" i="69"/>
  <c r="S15" i="69"/>
  <c r="S16" i="69"/>
  <c r="S21" i="69"/>
  <c r="F14" i="72"/>
  <c r="S22" i="69"/>
  <c r="G14" i="72"/>
  <c r="S23" i="69"/>
  <c r="H14" i="72"/>
  <c r="V14" i="72"/>
  <c r="W10" i="72"/>
  <c r="W15" i="72"/>
  <c r="S10" i="79"/>
  <c r="S11" i="79"/>
  <c r="S12" i="79"/>
  <c r="S13" i="79"/>
  <c r="S14" i="79"/>
  <c r="S15" i="79"/>
  <c r="S16" i="79"/>
  <c r="S17" i="79"/>
  <c r="S18" i="79"/>
  <c r="S20" i="79"/>
  <c r="S21" i="79"/>
  <c r="S22" i="79"/>
  <c r="S23" i="79"/>
  <c r="S24" i="79"/>
  <c r="S25" i="79"/>
  <c r="S26" i="79"/>
  <c r="S27" i="79"/>
  <c r="S28" i="79"/>
  <c r="S30" i="79"/>
  <c r="S31" i="79"/>
  <c r="S32" i="79"/>
  <c r="S33" i="79"/>
  <c r="S34" i="79"/>
  <c r="S35" i="79"/>
  <c r="S36" i="79"/>
  <c r="S37" i="79"/>
  <c r="S38" i="79"/>
  <c r="S39" i="79"/>
  <c r="S40" i="79"/>
  <c r="S44" i="79"/>
  <c r="S45" i="79"/>
  <c r="S46" i="79"/>
  <c r="S47" i="79"/>
  <c r="N21" i="77"/>
  <c r="T10" i="69"/>
  <c r="T11" i="69"/>
  <c r="T12" i="69"/>
  <c r="T13" i="69"/>
  <c r="T14" i="69"/>
  <c r="T15" i="69"/>
  <c r="T16" i="69"/>
  <c r="T21" i="69"/>
  <c r="I14" i="72"/>
  <c r="T22" i="69"/>
  <c r="J14" i="72"/>
  <c r="T23" i="69"/>
  <c r="K14" i="72"/>
  <c r="W14" i="72"/>
  <c r="X10" i="72"/>
  <c r="X15" i="72"/>
  <c r="T10" i="79"/>
  <c r="T11" i="79"/>
  <c r="T12" i="79"/>
  <c r="T13" i="79"/>
  <c r="T14" i="79"/>
  <c r="T15" i="79"/>
  <c r="T16" i="79"/>
  <c r="T17" i="79"/>
  <c r="T18" i="79"/>
  <c r="T20" i="79"/>
  <c r="T21" i="79"/>
  <c r="T22" i="79"/>
  <c r="T23" i="79"/>
  <c r="T24" i="79"/>
  <c r="T25" i="79"/>
  <c r="T26" i="79"/>
  <c r="T27" i="79"/>
  <c r="T28" i="79"/>
  <c r="T30" i="79"/>
  <c r="T31" i="79"/>
  <c r="T32" i="79"/>
  <c r="T33" i="79"/>
  <c r="T34" i="79"/>
  <c r="T35" i="79"/>
  <c r="T36" i="79"/>
  <c r="T37" i="79"/>
  <c r="T38" i="79"/>
  <c r="T39" i="79"/>
  <c r="T40" i="79"/>
  <c r="T44" i="79"/>
  <c r="T45" i="79"/>
  <c r="T46" i="79"/>
  <c r="T47" i="79"/>
  <c r="O21" i="77"/>
  <c r="U10" i="69"/>
  <c r="U11" i="69"/>
  <c r="U12" i="69"/>
  <c r="U13" i="69"/>
  <c r="U14" i="69"/>
  <c r="U15" i="69"/>
  <c r="U16" i="69"/>
  <c r="U21" i="69"/>
  <c r="L14" i="72"/>
  <c r="U22" i="69"/>
  <c r="M14" i="72"/>
  <c r="U23" i="69"/>
  <c r="N14" i="72"/>
  <c r="X14" i="72"/>
  <c r="Y10" i="72"/>
  <c r="Y15" i="72"/>
  <c r="U10" i="79"/>
  <c r="U11" i="79"/>
  <c r="U12" i="79"/>
  <c r="U13" i="79"/>
  <c r="U14" i="79"/>
  <c r="U15" i="79"/>
  <c r="U16" i="79"/>
  <c r="U17" i="79"/>
  <c r="U18" i="79"/>
  <c r="U20" i="79"/>
  <c r="U21" i="79"/>
  <c r="U22" i="79"/>
  <c r="U23" i="79"/>
  <c r="U24" i="79"/>
  <c r="U25" i="79"/>
  <c r="U26" i="79"/>
  <c r="U27" i="79"/>
  <c r="U28" i="79"/>
  <c r="U30" i="79"/>
  <c r="U31" i="79"/>
  <c r="U32" i="79"/>
  <c r="U33" i="79"/>
  <c r="U34" i="79"/>
  <c r="U35" i="79"/>
  <c r="U36" i="79"/>
  <c r="U37" i="79"/>
  <c r="U38" i="79"/>
  <c r="U39" i="79"/>
  <c r="U40" i="79"/>
  <c r="U44" i="79"/>
  <c r="U45" i="79"/>
  <c r="U46" i="79"/>
  <c r="U47" i="79"/>
  <c r="P21" i="77"/>
  <c r="V10" i="69"/>
  <c r="V11" i="69"/>
  <c r="V12" i="69"/>
  <c r="V13" i="69"/>
  <c r="V14" i="69"/>
  <c r="V15" i="69"/>
  <c r="V16" i="69"/>
  <c r="V21" i="69"/>
  <c r="O14" i="72"/>
  <c r="V22" i="69"/>
  <c r="P14" i="72"/>
  <c r="V23" i="69"/>
  <c r="Q14" i="72"/>
  <c r="Y14" i="72"/>
  <c r="Z10" i="72"/>
  <c r="Z15" i="72"/>
  <c r="V10" i="79"/>
  <c r="V11" i="79"/>
  <c r="V12" i="79"/>
  <c r="V13" i="79"/>
  <c r="V14" i="79"/>
  <c r="V15" i="79"/>
  <c r="V16" i="79"/>
  <c r="V17" i="79"/>
  <c r="V18" i="79"/>
  <c r="V20" i="79"/>
  <c r="V21" i="79"/>
  <c r="V22" i="79"/>
  <c r="V23" i="79"/>
  <c r="V24" i="79"/>
  <c r="V25" i="79"/>
  <c r="V26" i="79"/>
  <c r="V27" i="79"/>
  <c r="V28" i="79"/>
  <c r="V30" i="79"/>
  <c r="V31" i="79"/>
  <c r="V32" i="79"/>
  <c r="V33" i="79"/>
  <c r="V34" i="79"/>
  <c r="V35" i="79"/>
  <c r="V36" i="79"/>
  <c r="V37" i="79"/>
  <c r="V38" i="79"/>
  <c r="V39" i="79"/>
  <c r="V40" i="79"/>
  <c r="V44" i="79"/>
  <c r="V45" i="79"/>
  <c r="V46" i="79"/>
  <c r="V47" i="79"/>
  <c r="Q21" i="77"/>
  <c r="W10" i="69"/>
  <c r="W11" i="69"/>
  <c r="W12" i="69"/>
  <c r="W13" i="69"/>
  <c r="W14" i="69"/>
  <c r="W15" i="69"/>
  <c r="W16" i="69"/>
  <c r="W21" i="69"/>
  <c r="R14" i="72"/>
  <c r="W22" i="69"/>
  <c r="S14" i="72"/>
  <c r="W23" i="69"/>
  <c r="T14" i="72"/>
  <c r="Z14" i="72"/>
  <c r="R48" i="79"/>
  <c r="R49" i="79"/>
  <c r="R50" i="79"/>
  <c r="R51" i="79"/>
  <c r="S48" i="79"/>
  <c r="S49" i="79"/>
  <c r="S50" i="79"/>
  <c r="S51" i="79"/>
  <c r="T48" i="79"/>
  <c r="T49" i="79"/>
  <c r="T50" i="79"/>
  <c r="T51" i="79"/>
  <c r="U48" i="79"/>
  <c r="U49" i="79"/>
  <c r="U50" i="79"/>
  <c r="U51" i="79"/>
  <c r="V48" i="79"/>
  <c r="V49" i="79"/>
  <c r="V50" i="79"/>
  <c r="V51" i="79"/>
  <c r="R52" i="79"/>
  <c r="R53" i="79"/>
  <c r="R54" i="79"/>
  <c r="R55" i="79"/>
  <c r="S52" i="79"/>
  <c r="S53" i="79"/>
  <c r="S54" i="79"/>
  <c r="S55" i="79"/>
  <c r="T52" i="79"/>
  <c r="T53" i="79"/>
  <c r="T54" i="79"/>
  <c r="T55" i="79"/>
  <c r="U52" i="79"/>
  <c r="U53" i="79"/>
  <c r="U54" i="79"/>
  <c r="U55" i="79"/>
  <c r="V52" i="79"/>
  <c r="V53" i="79"/>
  <c r="V54" i="79"/>
  <c r="V55" i="79"/>
  <c r="R70" i="79"/>
  <c r="S70" i="79"/>
  <c r="T70" i="79"/>
  <c r="U70" i="79"/>
  <c r="V70" i="79"/>
  <c r="V56" i="79"/>
  <c r="U56" i="79"/>
  <c r="T56" i="79"/>
  <c r="S56" i="79"/>
  <c r="R56" i="79"/>
  <c r="C97" i="71"/>
  <c r="E93" i="71"/>
  <c r="E92" i="71"/>
  <c r="E91" i="71"/>
  <c r="E90" i="71"/>
  <c r="E89" i="71"/>
  <c r="E88" i="71"/>
  <c r="E87" i="71"/>
  <c r="E86" i="71"/>
  <c r="E85" i="71"/>
  <c r="E84" i="71"/>
  <c r="C94" i="71"/>
  <c r="C27" i="82"/>
  <c r="C26" i="82"/>
  <c r="L25" i="82"/>
  <c r="K25" i="82"/>
  <c r="J25" i="82"/>
  <c r="I25" i="82"/>
  <c r="H25" i="82"/>
  <c r="L24" i="82"/>
  <c r="K24" i="82"/>
  <c r="J24" i="82"/>
  <c r="I24" i="82"/>
  <c r="H24" i="82"/>
  <c r="I23" i="82"/>
  <c r="J23" i="82"/>
  <c r="K23" i="82"/>
  <c r="L23" i="82"/>
  <c r="H23" i="82"/>
  <c r="C30" i="82"/>
  <c r="A19" i="82"/>
  <c r="A18" i="82"/>
  <c r="A13" i="82"/>
  <c r="A12" i="82"/>
  <c r="A11" i="82"/>
  <c r="A10" i="82"/>
  <c r="A5" i="82"/>
  <c r="A2" i="82"/>
  <c r="A1" i="82"/>
  <c r="K26" i="82"/>
  <c r="I26" i="82"/>
  <c r="I28" i="82"/>
  <c r="H26" i="82"/>
  <c r="H28" i="82"/>
  <c r="L26" i="82"/>
  <c r="L28" i="82"/>
  <c r="J26" i="82"/>
  <c r="K28" i="82"/>
  <c r="J28" i="82"/>
  <c r="N3" i="82"/>
  <c r="N28" i="82"/>
  <c r="D6" i="72"/>
  <c r="C79" i="71"/>
  <c r="F69" i="79"/>
  <c r="F68" i="79"/>
  <c r="F67" i="79"/>
  <c r="F66" i="79"/>
  <c r="F65" i="79"/>
  <c r="F64" i="79"/>
  <c r="A30" i="79"/>
  <c r="A28" i="79"/>
  <c r="A20" i="79"/>
  <c r="A19" i="79"/>
  <c r="A18" i="79"/>
  <c r="A17" i="79"/>
  <c r="A16" i="79"/>
  <c r="A13" i="79"/>
  <c r="A12" i="79"/>
  <c r="A11" i="79"/>
  <c r="A10" i="79"/>
  <c r="I16" i="70"/>
  <c r="U58" i="79"/>
  <c r="H16" i="70"/>
  <c r="G16" i="70"/>
  <c r="F16" i="70"/>
  <c r="J16" i="70"/>
  <c r="T71" i="79"/>
  <c r="T58" i="79"/>
  <c r="U71" i="79"/>
  <c r="V71" i="79"/>
  <c r="V58" i="79"/>
  <c r="S71" i="79"/>
  <c r="S58" i="79"/>
  <c r="R71" i="79"/>
  <c r="R58" i="79"/>
  <c r="L16" i="70"/>
  <c r="X71" i="79"/>
  <c r="X58" i="79"/>
  <c r="X3" i="79"/>
  <c r="C28" i="77"/>
  <c r="C25" i="77"/>
  <c r="C24" i="77"/>
  <c r="A5" i="77"/>
  <c r="A2" i="77"/>
  <c r="A1" i="77"/>
  <c r="L69" i="71"/>
  <c r="K69" i="71"/>
  <c r="J69" i="71"/>
  <c r="I69" i="71"/>
  <c r="H69" i="71"/>
  <c r="L68" i="71"/>
  <c r="K68" i="71"/>
  <c r="J68" i="71"/>
  <c r="I68" i="71"/>
  <c r="H68" i="71"/>
  <c r="L67" i="71"/>
  <c r="K67" i="71"/>
  <c r="J67" i="71"/>
  <c r="I67" i="71"/>
  <c r="H67" i="71"/>
  <c r="L66" i="71"/>
  <c r="K66" i="71"/>
  <c r="J66" i="71"/>
  <c r="I66" i="71"/>
  <c r="H66" i="71"/>
  <c r="L65" i="71"/>
  <c r="K65" i="71"/>
  <c r="J65" i="71"/>
  <c r="I65" i="71"/>
  <c r="H65" i="71"/>
  <c r="L64" i="71"/>
  <c r="K64" i="71"/>
  <c r="J64" i="71"/>
  <c r="I64" i="71"/>
  <c r="H64" i="71"/>
  <c r="L63" i="71"/>
  <c r="K63" i="71"/>
  <c r="J63" i="71"/>
  <c r="I63" i="71"/>
  <c r="H63" i="71"/>
  <c r="L62" i="71"/>
  <c r="K62" i="71"/>
  <c r="J62" i="71"/>
  <c r="I62" i="71"/>
  <c r="H62" i="71"/>
  <c r="I61" i="71"/>
  <c r="J61" i="71"/>
  <c r="K61" i="71"/>
  <c r="L61" i="71"/>
  <c r="H61" i="71"/>
  <c r="J70" i="71"/>
  <c r="J72" i="71"/>
  <c r="H70" i="71"/>
  <c r="H72" i="71"/>
  <c r="L70" i="71"/>
  <c r="L72" i="71"/>
  <c r="K70" i="71"/>
  <c r="K72" i="71"/>
  <c r="I70" i="71"/>
  <c r="I72" i="71"/>
  <c r="A50" i="71"/>
  <c r="A40" i="71"/>
  <c r="A30" i="71"/>
  <c r="C28" i="76"/>
  <c r="C25" i="76"/>
  <c r="C24" i="76"/>
  <c r="A5" i="76"/>
  <c r="A2" i="76"/>
  <c r="A1" i="76"/>
  <c r="N72" i="71"/>
  <c r="N3" i="71"/>
  <c r="A25" i="74"/>
  <c r="A24" i="74"/>
  <c r="A23" i="74"/>
  <c r="A5" i="71"/>
  <c r="A5" i="69"/>
  <c r="C28" i="69"/>
  <c r="C71" i="71"/>
  <c r="C70" i="71"/>
  <c r="C25" i="69"/>
  <c r="C24" i="69"/>
  <c r="A2" i="71"/>
  <c r="A1" i="71"/>
  <c r="A2" i="69"/>
  <c r="A1" i="69"/>
  <c r="A2" i="72"/>
  <c r="A1" i="72"/>
  <c r="A2" i="70"/>
  <c r="A1" i="70"/>
  <c r="A11" i="71"/>
  <c r="A10" i="71"/>
  <c r="A12" i="71"/>
  <c r="A13" i="71"/>
  <c r="A18" i="71"/>
  <c r="A19" i="71"/>
  <c r="A20" i="71"/>
  <c r="Q10" i="76"/>
  <c r="K71" i="71"/>
  <c r="L77" i="71"/>
  <c r="K77" i="71"/>
  <c r="L93" i="71"/>
  <c r="L92" i="71"/>
  <c r="K91" i="71"/>
  <c r="K90" i="71"/>
  <c r="K89" i="71"/>
  <c r="K88" i="71"/>
  <c r="J87" i="71"/>
  <c r="J86" i="71"/>
  <c r="I85" i="71"/>
  <c r="I84" i="71"/>
  <c r="H91" i="71"/>
  <c r="H90" i="71"/>
  <c r="I93" i="71"/>
  <c r="I92" i="71"/>
  <c r="L89" i="71"/>
  <c r="L88" i="71"/>
  <c r="H85" i="71"/>
  <c r="H84" i="71"/>
  <c r="K93" i="71"/>
  <c r="K92" i="71"/>
  <c r="J91" i="71"/>
  <c r="J90" i="71"/>
  <c r="J89" i="71"/>
  <c r="J88" i="71"/>
  <c r="I87" i="71"/>
  <c r="I86" i="71"/>
  <c r="L85" i="71"/>
  <c r="L84" i="71"/>
  <c r="H89" i="71"/>
  <c r="H88" i="71"/>
  <c r="L91" i="71"/>
  <c r="L90" i="71"/>
  <c r="K87" i="71"/>
  <c r="K86" i="71"/>
  <c r="H93" i="71"/>
  <c r="H92" i="71"/>
  <c r="J93" i="71"/>
  <c r="J92" i="71"/>
  <c r="I91" i="71"/>
  <c r="I90" i="71"/>
  <c r="I89" i="71"/>
  <c r="I88" i="71"/>
  <c r="L87" i="71"/>
  <c r="L86" i="71"/>
  <c r="K85" i="71"/>
  <c r="K84" i="71"/>
  <c r="H87" i="71"/>
  <c r="H86" i="71"/>
  <c r="J85" i="71"/>
  <c r="J84" i="71"/>
  <c r="H78" i="71"/>
  <c r="F19" i="70"/>
  <c r="J78" i="71"/>
  <c r="M13" i="72"/>
  <c r="X13" i="72"/>
  <c r="I16" i="72"/>
  <c r="R16" i="72"/>
  <c r="H27" i="82"/>
  <c r="G16" i="72"/>
  <c r="T16" i="72"/>
  <c r="J16" i="72"/>
  <c r="S16" i="72"/>
  <c r="K16" i="72"/>
  <c r="I27" i="82"/>
  <c r="G20" i="70"/>
  <c r="H16" i="72"/>
  <c r="P16" i="72"/>
  <c r="F16" i="72"/>
  <c r="L27" i="82"/>
  <c r="J20" i="70"/>
  <c r="L16" i="72"/>
  <c r="O16" i="72"/>
  <c r="M16" i="72"/>
  <c r="N16" i="72"/>
  <c r="Q16" i="72"/>
  <c r="J27" i="82"/>
  <c r="H20" i="70"/>
  <c r="K27" i="82"/>
  <c r="I20" i="70"/>
  <c r="H71" i="71"/>
  <c r="I78" i="71"/>
  <c r="I76" i="71"/>
  <c r="J71" i="71"/>
  <c r="L71" i="71"/>
  <c r="I77" i="71"/>
  <c r="K78" i="71"/>
  <c r="K76" i="71"/>
  <c r="L78" i="71"/>
  <c r="L76" i="71"/>
  <c r="I71" i="71"/>
  <c r="H77" i="71"/>
  <c r="J77" i="71"/>
  <c r="Q23" i="77"/>
  <c r="Q22" i="77"/>
  <c r="P23" i="77"/>
  <c r="P22" i="77"/>
  <c r="N23" i="77"/>
  <c r="N22" i="77"/>
  <c r="M23" i="77"/>
  <c r="M22" i="77"/>
  <c r="O22" i="77"/>
  <c r="O23" i="77"/>
  <c r="H76" i="71"/>
  <c r="G12" i="72"/>
  <c r="J12" i="72"/>
  <c r="N12" i="72"/>
  <c r="Q12" i="72"/>
  <c r="Q18" i="72"/>
  <c r="H12" i="72"/>
  <c r="S12" i="72"/>
  <c r="K12" i="72"/>
  <c r="K18" i="72"/>
  <c r="T12" i="72"/>
  <c r="T18" i="72"/>
  <c r="P12" i="72"/>
  <c r="G13" i="72"/>
  <c r="V13" i="72"/>
  <c r="H19" i="70"/>
  <c r="J76" i="71"/>
  <c r="M12" i="72"/>
  <c r="M18" i="72"/>
  <c r="I94" i="71"/>
  <c r="J94" i="71"/>
  <c r="L94" i="71"/>
  <c r="K94" i="71"/>
  <c r="H94" i="71"/>
  <c r="Y16" i="72"/>
  <c r="Z16" i="72"/>
  <c r="X16" i="72"/>
  <c r="V16" i="72"/>
  <c r="F20" i="70"/>
  <c r="L20" i="70"/>
  <c r="D30" i="82"/>
  <c r="W16" i="72"/>
  <c r="S13" i="72"/>
  <c r="Z13" i="72"/>
  <c r="J13" i="72"/>
  <c r="W13" i="72"/>
  <c r="G19" i="70"/>
  <c r="J19" i="70"/>
  <c r="P13" i="72"/>
  <c r="Y13" i="72"/>
  <c r="I19" i="70"/>
  <c r="O24" i="77"/>
  <c r="M24" i="77"/>
  <c r="Q24" i="77"/>
  <c r="W24" i="76"/>
  <c r="P24" i="77"/>
  <c r="V24" i="76"/>
  <c r="T24" i="76"/>
  <c r="U24" i="76"/>
  <c r="N24" i="77"/>
  <c r="S24" i="76"/>
  <c r="W24" i="69"/>
  <c r="L19" i="70"/>
  <c r="J18" i="72"/>
  <c r="G18" i="72"/>
  <c r="P18" i="72"/>
  <c r="N18" i="72"/>
  <c r="S18" i="72"/>
  <c r="H18" i="72"/>
  <c r="T24" i="69"/>
  <c r="T25" i="69"/>
  <c r="G14" i="70"/>
  <c r="AB15" i="72"/>
  <c r="AB16" i="72"/>
  <c r="AB13" i="72"/>
  <c r="U24" i="69"/>
  <c r="U25" i="69"/>
  <c r="H14" i="70"/>
  <c r="V24" i="69"/>
  <c r="V26" i="69"/>
  <c r="S24" i="69"/>
  <c r="S26" i="69"/>
  <c r="Q26" i="77"/>
  <c r="Q25" i="77"/>
  <c r="O25" i="77"/>
  <c r="O26" i="77"/>
  <c r="N25" i="77"/>
  <c r="N26" i="77"/>
  <c r="V26" i="76"/>
  <c r="V25" i="76"/>
  <c r="I15" i="70"/>
  <c r="P25" i="77"/>
  <c r="P26" i="77"/>
  <c r="T26" i="76"/>
  <c r="T25" i="76"/>
  <c r="G15" i="70"/>
  <c r="M26" i="77"/>
  <c r="M25" i="77"/>
  <c r="S26" i="76"/>
  <c r="S25" i="76"/>
  <c r="U26" i="76"/>
  <c r="U25" i="76"/>
  <c r="H15" i="70"/>
  <c r="W26" i="76"/>
  <c r="W25" i="76"/>
  <c r="J15" i="70"/>
  <c r="W26" i="69"/>
  <c r="W25" i="69"/>
  <c r="J14" i="70"/>
  <c r="T26" i="69"/>
  <c r="AF18" i="72"/>
  <c r="AE18" i="72"/>
  <c r="AF15" i="72"/>
  <c r="AE15" i="72"/>
  <c r="AD15" i="72"/>
  <c r="AI15" i="72"/>
  <c r="AI13" i="72"/>
  <c r="AI16" i="72"/>
  <c r="U26" i="69"/>
  <c r="N19" i="70"/>
  <c r="N20" i="70"/>
  <c r="I17" i="70"/>
  <c r="G17" i="70"/>
  <c r="H17" i="70"/>
  <c r="J17" i="70"/>
  <c r="AB14" i="72"/>
  <c r="V25" i="69"/>
  <c r="I14" i="70"/>
  <c r="S25" i="69"/>
  <c r="F14" i="70"/>
  <c r="D28" i="76"/>
  <c r="F15" i="70"/>
  <c r="Y26" i="76"/>
  <c r="Y3" i="76"/>
  <c r="F17" i="70"/>
  <c r="D28" i="77"/>
  <c r="S26" i="77"/>
  <c r="S3" i="77"/>
  <c r="L17" i="70"/>
  <c r="L14" i="70"/>
  <c r="Y26" i="69"/>
  <c r="Y3" i="69"/>
  <c r="D7" i="70"/>
  <c r="N15" i="70"/>
  <c r="L15" i="70"/>
  <c r="AD14" i="72"/>
  <c r="AF14" i="72"/>
  <c r="AE14" i="72"/>
  <c r="AH15" i="72"/>
  <c r="AI14" i="72"/>
  <c r="N14" i="70"/>
  <c r="D28" i="69"/>
  <c r="AH14" i="72"/>
  <c r="H75" i="71"/>
  <c r="F12" i="72"/>
  <c r="V12" i="72"/>
  <c r="I75" i="71"/>
  <c r="I12" i="72"/>
  <c r="W12" i="72"/>
  <c r="K75" i="71"/>
  <c r="O12" i="72"/>
  <c r="Y12" i="72"/>
  <c r="J75" i="71"/>
  <c r="L12" i="72"/>
  <c r="X12" i="72"/>
  <c r="L75" i="71"/>
  <c r="R12" i="72"/>
  <c r="Z12" i="72"/>
  <c r="F18" i="72"/>
  <c r="I18" i="72"/>
  <c r="L18" i="72"/>
  <c r="O18" i="72"/>
  <c r="R18" i="72"/>
  <c r="AD18" i="72"/>
  <c r="AF19" i="72"/>
  <c r="AE19" i="72"/>
  <c r="AD19" i="72"/>
  <c r="AB12" i="72"/>
  <c r="AD12" i="72"/>
  <c r="AE12" i="72"/>
  <c r="AF12" i="72"/>
  <c r="F18" i="70"/>
  <c r="F21" i="70"/>
  <c r="G18" i="70"/>
  <c r="G21" i="70"/>
  <c r="H18" i="70"/>
  <c r="H21" i="70"/>
  <c r="I18" i="70"/>
  <c r="I21" i="70"/>
  <c r="J18" i="70"/>
  <c r="J21" i="70"/>
  <c r="H79" i="71"/>
  <c r="I79" i="71"/>
  <c r="J79" i="71"/>
  <c r="K79" i="71"/>
  <c r="L79" i="71"/>
  <c r="N21" i="70"/>
  <c r="AH12" i="72"/>
  <c r="L21" i="70"/>
  <c r="N16" i="70"/>
  <c r="AI12" i="72"/>
  <c r="V18" i="72"/>
  <c r="W18" i="72"/>
  <c r="X18" i="72"/>
  <c r="Y18" i="72"/>
  <c r="Z18" i="72"/>
  <c r="AB18" i="72"/>
  <c r="H95" i="71"/>
  <c r="I95" i="71"/>
  <c r="J95" i="71"/>
  <c r="K95" i="71"/>
  <c r="L95" i="71"/>
  <c r="N95" i="71"/>
  <c r="H80" i="71"/>
  <c r="I80" i="71"/>
  <c r="J80" i="71"/>
  <c r="K80" i="71"/>
  <c r="L80" i="71"/>
  <c r="N80" i="71"/>
  <c r="D97" i="71"/>
  <c r="L18" i="70"/>
</calcChain>
</file>

<file path=xl/sharedStrings.xml><?xml version="1.0" encoding="utf-8"?>
<sst xmlns="http://schemas.openxmlformats.org/spreadsheetml/2006/main" count="482" uniqueCount="115">
  <si>
    <t>Materials</t>
  </si>
  <si>
    <t>Labour</t>
  </si>
  <si>
    <t>Assumptions</t>
  </si>
  <si>
    <t>Contracts</t>
  </si>
  <si>
    <t>CapEx</t>
  </si>
  <si>
    <t>Parameters</t>
  </si>
  <si>
    <t>Area Applied</t>
  </si>
  <si>
    <t>Assumption Types</t>
  </si>
  <si>
    <t>Type</t>
  </si>
  <si>
    <t>Units</t>
  </si>
  <si>
    <t>Cost ($)</t>
  </si>
  <si>
    <t>Check</t>
  </si>
  <si>
    <t>Summary</t>
  </si>
  <si>
    <t>Real Discount rate:</t>
  </si>
  <si>
    <t>Unit rate</t>
  </si>
  <si>
    <t>2021/22</t>
  </si>
  <si>
    <t>2022/23</t>
  </si>
  <si>
    <t>2023/24</t>
  </si>
  <si>
    <t>2024/25</t>
  </si>
  <si>
    <t>2025/26</t>
  </si>
  <si>
    <t>Capex/Opex</t>
  </si>
  <si>
    <t>Total</t>
  </si>
  <si>
    <t>Function Code</t>
  </si>
  <si>
    <t>Service</t>
  </si>
  <si>
    <t>Actual</t>
  </si>
  <si>
    <t>Forecast</t>
  </si>
  <si>
    <t>Cumulative CPI from 2015</t>
  </si>
  <si>
    <t>Multiply by:</t>
  </si>
  <si>
    <t>To:</t>
  </si>
  <si>
    <t>Cost inputs are in:</t>
  </si>
  <si>
    <t>2020/21</t>
  </si>
  <si>
    <t>To convert from nominal:</t>
  </si>
  <si>
    <t>dollars (mid year)</t>
  </si>
  <si>
    <t>dollars (end of FY)</t>
  </si>
  <si>
    <t>Checks OK</t>
  </si>
  <si>
    <t>Hours</t>
  </si>
  <si>
    <t>Each</t>
  </si>
  <si>
    <t>$</t>
  </si>
  <si>
    <t>Quantity of units</t>
  </si>
  <si>
    <t>Description</t>
  </si>
  <si>
    <t>Output ($, 2020/21)</t>
  </si>
  <si>
    <t>Forecast direct capex ($'000, 2020/21)</t>
  </si>
  <si>
    <t>Summary ($, 2020/21)</t>
  </si>
  <si>
    <t>Total Cost ($, 2020/21)</t>
  </si>
  <si>
    <t>Options</t>
  </si>
  <si>
    <t>Non-Network Capex</t>
  </si>
  <si>
    <t>Fleet</t>
  </si>
  <si>
    <t>Fleet (Fn code 240)</t>
  </si>
  <si>
    <t>2019/20</t>
  </si>
  <si>
    <t>Actual ($ nominal)</t>
  </si>
  <si>
    <t>Actual ($ 2018)</t>
  </si>
  <si>
    <t>Ave</t>
  </si>
  <si>
    <t>Fcast ($ 2020/21)</t>
  </si>
  <si>
    <t xml:space="preserve">Fcast </t>
  </si>
  <si>
    <t>2020/21 - 2025/26</t>
  </si>
  <si>
    <t>Property</t>
  </si>
  <si>
    <t>Other non network</t>
  </si>
  <si>
    <t>Contract</t>
  </si>
  <si>
    <t>Tools and Equipment</t>
  </si>
  <si>
    <t>Tools and equipment (fn code 210 &amp; 220)</t>
  </si>
  <si>
    <t xml:space="preserve">New Depot Design </t>
  </si>
  <si>
    <t>Staff Relocation / Alternative Accom</t>
  </si>
  <si>
    <t>Civil Works/Demolition works</t>
  </si>
  <si>
    <t xml:space="preserve">Building works </t>
  </si>
  <si>
    <t xml:space="preserve">Services </t>
  </si>
  <si>
    <t>Fixtures, Furniture &amp; equipment</t>
  </si>
  <si>
    <t>Other</t>
  </si>
  <si>
    <t>Project Management</t>
  </si>
  <si>
    <t>Cost ($ 2018)</t>
  </si>
  <si>
    <t>Land</t>
  </si>
  <si>
    <t>Depot</t>
  </si>
  <si>
    <t>Building Compliance</t>
  </si>
  <si>
    <t>Building compliance</t>
  </si>
  <si>
    <t>Tools and equipment</t>
  </si>
  <si>
    <t>Forecast ($ )</t>
  </si>
  <si>
    <t>2021/22 - 2025/26</t>
  </si>
  <si>
    <t>Non Network Capex</t>
  </si>
  <si>
    <t>Option 1 Property</t>
  </si>
  <si>
    <t>Split</t>
  </si>
  <si>
    <t>Type 2</t>
  </si>
  <si>
    <t>Building Access Control (BACS)</t>
  </si>
  <si>
    <t xml:space="preserve">Smart Keys Project </t>
  </si>
  <si>
    <t>Existing Gates Upgrade</t>
  </si>
  <si>
    <t>Elevated Security Project - Control Room setup</t>
  </si>
  <si>
    <t>Existing CCTV Upgrade</t>
  </si>
  <si>
    <t>Livelink Enterprise Implementation</t>
  </si>
  <si>
    <t>ZSS Security improvements</t>
  </si>
  <si>
    <t>ZSS</t>
  </si>
  <si>
    <t>DSS Security improvements</t>
  </si>
  <si>
    <t>DSS</t>
  </si>
  <si>
    <t>Depot Security</t>
  </si>
  <si>
    <t>Summary split by business</t>
  </si>
  <si>
    <t>CP</t>
  </si>
  <si>
    <t>Capex</t>
  </si>
  <si>
    <t>PAL</t>
  </si>
  <si>
    <t>210/220</t>
  </si>
  <si>
    <t>Tools &amp; Equipment</t>
  </si>
  <si>
    <t>Facilities</t>
  </si>
  <si>
    <t>Dollars</t>
  </si>
  <si>
    <t>CPI</t>
  </si>
  <si>
    <t>Annual CPI - 12 months unlagged</t>
  </si>
  <si>
    <t>Asset disposal</t>
  </si>
  <si>
    <t>Disposal</t>
  </si>
  <si>
    <t>2016/17</t>
  </si>
  <si>
    <t>2017/18</t>
  </si>
  <si>
    <t>2018/19</t>
  </si>
  <si>
    <t>non-network</t>
  </si>
  <si>
    <t>Mid CY</t>
  </si>
  <si>
    <t>End FY</t>
  </si>
  <si>
    <t>Facilities Security</t>
  </si>
  <si>
    <t>VPN</t>
  </si>
  <si>
    <t>Inputs are in $2018 unless otherwise stated</t>
  </si>
  <si>
    <t>Total Expenditure ($ 2018)</t>
  </si>
  <si>
    <t>Total Expenditure ($ 2020/21)</t>
  </si>
  <si>
    <t>NPV ($ 2020/21)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</si>
</sst>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6" formatCode="&quot;$&quot;#,##0;[Red]\-&quot;$&quot;#,##0"/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0.0"/>
    <numFmt numFmtId="167" formatCode="&quot;$&quot;#,##0;[Red]\-&quot;$&quot;#,##0;\ &quot;-&quot;"/>
    <numFmt numFmtId="168" formatCode="&quot;$&quot;#,##0.00;[Red]\-&quot;$&quot;#,##0.00;\ &quot;-&quot;"/>
    <numFmt numFmtId="169" formatCode="#,##0_ ;[Red]\-#,##0;\ &quot;-&quot;"/>
    <numFmt numFmtId="170" formatCode="#,##0_ ;[Red]\-#,##0\ "/>
    <numFmt numFmtId="171" formatCode="&quot;Convert to December&quot;\ ####"/>
    <numFmt numFmtId="172" formatCode="0.00000000000000000"/>
    <numFmt numFmtId="173" formatCode="0.000000"/>
    <numFmt numFmtId="174" formatCode="0.0000"/>
    <numFmt numFmtId="175" formatCode="0.0%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rgb="FFFFFFFF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Trebuchet MS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1"/>
      <name val="Verdana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</font>
    <font>
      <sz val="10"/>
      <color rgb="FF0066FF"/>
      <name val="Calibri"/>
      <family val="2"/>
    </font>
    <font>
      <i/>
      <sz val="10"/>
      <color theme="1"/>
      <name val="Calibri"/>
      <family val="2"/>
    </font>
    <font>
      <i/>
      <sz val="10"/>
      <color theme="1" tint="0.499984740745262"/>
      <name val="Calibri"/>
      <family val="2"/>
    </font>
    <font>
      <i/>
      <sz val="10"/>
      <name val="Calibri"/>
      <family val="2"/>
    </font>
    <font>
      <b/>
      <sz val="10"/>
      <color rgb="FFFFFFFF"/>
      <name val="Calibri"/>
      <family val="2"/>
      <scheme val="minor"/>
    </font>
    <font>
      <sz val="10"/>
      <name val="Calibri"/>
      <family val="2"/>
    </font>
    <font>
      <sz val="8"/>
      <color theme="0" tint="-0.499984740745262"/>
      <name val="Calibri"/>
      <family val="2"/>
      <scheme val="minor"/>
    </font>
    <font>
      <i/>
      <sz val="8"/>
      <color theme="0" tint="-0.499984740745262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sz val="10"/>
      <color rgb="FF0000FF"/>
      <name val="Calibri"/>
      <family val="2"/>
    </font>
    <font>
      <i/>
      <sz val="10"/>
      <color rgb="FF0000FF"/>
      <name val="Calibri"/>
      <family val="2"/>
    </font>
    <font>
      <sz val="10"/>
      <color rgb="FF0000FF"/>
      <name val="Calibri"/>
      <family val="2"/>
      <scheme val="minor"/>
    </font>
    <font>
      <sz val="8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i/>
      <sz val="8"/>
      <color theme="2"/>
      <name val="Calibri"/>
      <family val="2"/>
      <scheme val="minor"/>
    </font>
    <font>
      <sz val="10"/>
      <color theme="3"/>
      <name val="Arial"/>
      <family val="2"/>
    </font>
    <font>
      <i/>
      <sz val="10"/>
      <color theme="2" tint="-9.9948118533890809E-2"/>
      <name val="Calibri"/>
      <family val="2"/>
      <scheme val="minor"/>
    </font>
    <font>
      <sz val="8"/>
      <color theme="0" tint="-0.34998626667073579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6E5F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BF2F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ck">
        <color theme="0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ck">
        <color theme="0"/>
      </right>
      <top style="thin">
        <color indexed="64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/>
      <top style="medium">
        <color theme="0"/>
      </top>
      <bottom/>
      <diagonal/>
    </border>
  </borders>
  <cellStyleXfs count="29">
    <xf numFmtId="0" fontId="0" fillId="0" borderId="0"/>
    <xf numFmtId="0" fontId="4" fillId="0" borderId="0"/>
    <xf numFmtId="0" fontId="3" fillId="0" borderId="0"/>
    <xf numFmtId="0" fontId="5" fillId="0" borderId="0"/>
    <xf numFmtId="0" fontId="3" fillId="0" borderId="0"/>
    <xf numFmtId="44" fontId="5" fillId="0" borderId="0" applyFont="0" applyFill="0" applyBorder="0" applyAlignment="0" applyProtection="0"/>
    <xf numFmtId="0" fontId="1" fillId="0" borderId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/>
    <xf numFmtId="0" fontId="3" fillId="0" borderId="0"/>
    <xf numFmtId="0" fontId="8" fillId="0" borderId="0"/>
    <xf numFmtId="0" fontId="9" fillId="0" borderId="0"/>
    <xf numFmtId="0" fontId="10" fillId="0" borderId="0"/>
    <xf numFmtId="9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1" fillId="0" borderId="0"/>
    <xf numFmtId="44" fontId="11" fillId="0" borderId="0" applyFont="0" applyFill="0" applyBorder="0" applyAlignment="0" applyProtection="0"/>
    <xf numFmtId="0" fontId="10" fillId="0" borderId="0"/>
    <xf numFmtId="9" fontId="11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1" fillId="0" borderId="0"/>
    <xf numFmtId="9" fontId="1" fillId="0" borderId="0" applyFont="0" applyFill="0" applyBorder="0" applyAlignment="0" applyProtection="0"/>
    <xf numFmtId="0" fontId="48" fillId="2" borderId="9" applyNumberFormat="0" applyAlignment="0">
      <alignment horizontal="right"/>
      <protection locked="0"/>
    </xf>
    <xf numFmtId="165" fontId="3" fillId="0" borderId="0" applyFont="0" applyFill="0" applyBorder="0" applyAlignment="0" applyProtection="0"/>
  </cellStyleXfs>
  <cellXfs count="157">
    <xf numFmtId="0" fontId="0" fillId="0" borderId="0" xfId="0"/>
    <xf numFmtId="0" fontId="12" fillId="0" borderId="0" xfId="0" applyFont="1"/>
    <xf numFmtId="0" fontId="12" fillId="0" borderId="0" xfId="0" applyFont="1" applyFill="1"/>
    <xf numFmtId="3" fontId="12" fillId="0" borderId="0" xfId="0" applyNumberFormat="1" applyFont="1"/>
    <xf numFmtId="0" fontId="12" fillId="0" borderId="0" xfId="0" applyFont="1" applyBorder="1"/>
    <xf numFmtId="0" fontId="13" fillId="0" borderId="3" xfId="0" applyFont="1" applyBorder="1"/>
    <xf numFmtId="0" fontId="12" fillId="0" borderId="0" xfId="0" applyFont="1" applyBorder="1" applyAlignment="1">
      <alignment horizontal="right"/>
    </xf>
    <xf numFmtId="0" fontId="13" fillId="0" borderId="0" xfId="0" applyFont="1" applyBorder="1"/>
    <xf numFmtId="167" fontId="12" fillId="0" borderId="1" xfId="0" applyNumberFormat="1" applyFont="1" applyFill="1" applyBorder="1" applyAlignment="1">
      <alignment horizontal="right" vertical="top"/>
    </xf>
    <xf numFmtId="167" fontId="12" fillId="0" borderId="0" xfId="0" applyNumberFormat="1" applyFont="1" applyFill="1" applyBorder="1" applyAlignment="1">
      <alignment horizontal="right" vertical="top"/>
    </xf>
    <xf numFmtId="0" fontId="13" fillId="0" borderId="4" xfId="0" applyFont="1" applyBorder="1"/>
    <xf numFmtId="167" fontId="13" fillId="0" borderId="4" xfId="0" applyNumberFormat="1" applyFont="1" applyFill="1" applyBorder="1" applyAlignment="1">
      <alignment horizontal="right" vertical="top"/>
    </xf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4" fillId="3" borderId="0" xfId="0" applyFont="1" applyFill="1"/>
    <xf numFmtId="0" fontId="14" fillId="3" borderId="0" xfId="0" applyFont="1" applyFill="1" applyAlignment="1">
      <alignment horizontal="center"/>
    </xf>
    <xf numFmtId="0" fontId="15" fillId="3" borderId="0" xfId="0" applyFont="1" applyFill="1"/>
    <xf numFmtId="0" fontId="16" fillId="3" borderId="0" xfId="0" applyFont="1" applyFill="1"/>
    <xf numFmtId="0" fontId="15" fillId="0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center"/>
    </xf>
    <xf numFmtId="0" fontId="17" fillId="0" borderId="0" xfId="0" applyFont="1"/>
    <xf numFmtId="0" fontId="13" fillId="4" borderId="2" xfId="0" applyFont="1" applyFill="1" applyBorder="1" applyAlignment="1">
      <alignment horizontal="centerContinuous"/>
    </xf>
    <xf numFmtId="0" fontId="12" fillId="4" borderId="2" xfId="0" applyFont="1" applyFill="1" applyBorder="1" applyAlignment="1">
      <alignment horizontal="centerContinuous"/>
    </xf>
    <xf numFmtId="0" fontId="13" fillId="0" borderId="5" xfId="0" applyFont="1" applyBorder="1"/>
    <xf numFmtId="167" fontId="13" fillId="0" borderId="5" xfId="0" applyNumberFormat="1" applyFont="1" applyFill="1" applyBorder="1" applyAlignment="1">
      <alignment horizontal="right" vertical="top"/>
    </xf>
    <xf numFmtId="0" fontId="12" fillId="0" borderId="2" xfId="0" applyFont="1" applyBorder="1"/>
    <xf numFmtId="0" fontId="12" fillId="0" borderId="2" xfId="0" applyFont="1" applyBorder="1" applyAlignment="1">
      <alignment horizontal="center"/>
    </xf>
    <xf numFmtId="167" fontId="12" fillId="0" borderId="2" xfId="0" applyNumberFormat="1" applyFont="1" applyFill="1" applyBorder="1" applyAlignment="1">
      <alignment horizontal="right" vertical="top"/>
    </xf>
    <xf numFmtId="0" fontId="13" fillId="0" borderId="0" xfId="0" applyFont="1" applyBorder="1" applyAlignment="1">
      <alignment horizontal="center"/>
    </xf>
    <xf numFmtId="0" fontId="2" fillId="0" borderId="0" xfId="13" applyFont="1" applyFill="1" applyAlignment="1">
      <alignment horizontal="left" vertical="center"/>
    </xf>
    <xf numFmtId="0" fontId="0" fillId="0" borderId="0" xfId="0" applyFill="1"/>
    <xf numFmtId="0" fontId="18" fillId="3" borderId="0" xfId="0" applyFont="1" applyFill="1"/>
    <xf numFmtId="0" fontId="19" fillId="3" borderId="0" xfId="0" applyFont="1" applyFill="1"/>
    <xf numFmtId="0" fontId="20" fillId="3" borderId="0" xfId="0" applyFont="1" applyFill="1"/>
    <xf numFmtId="0" fontId="20" fillId="3" borderId="0" xfId="0" applyFont="1" applyFill="1" applyAlignment="1">
      <alignment horizontal="center"/>
    </xf>
    <xf numFmtId="0" fontId="21" fillId="0" borderId="0" xfId="0" applyFont="1"/>
    <xf numFmtId="6" fontId="13" fillId="0" borderId="0" xfId="0" applyNumberFormat="1" applyFont="1"/>
    <xf numFmtId="167" fontId="12" fillId="0" borderId="0" xfId="0" applyNumberFormat="1" applyFont="1" applyFill="1"/>
    <xf numFmtId="6" fontId="12" fillId="0" borderId="2" xfId="0" applyNumberFormat="1" applyFont="1" applyFill="1" applyBorder="1" applyAlignment="1">
      <alignment horizontal="right" vertical="top"/>
    </xf>
    <xf numFmtId="0" fontId="22" fillId="3" borderId="0" xfId="0" applyFont="1" applyFill="1"/>
    <xf numFmtId="0" fontId="22" fillId="3" borderId="0" xfId="0" applyFont="1" applyFill="1" applyAlignment="1">
      <alignment horizontal="center"/>
    </xf>
    <xf numFmtId="0" fontId="23" fillId="0" borderId="0" xfId="0" applyFont="1"/>
    <xf numFmtId="0" fontId="24" fillId="3" borderId="0" xfId="0" applyFont="1" applyFill="1"/>
    <xf numFmtId="0" fontId="24" fillId="3" borderId="0" xfId="0" applyFont="1" applyFill="1" applyAlignment="1">
      <alignment horizontal="center"/>
    </xf>
    <xf numFmtId="0" fontId="25" fillId="0" borderId="0" xfId="0" applyFont="1"/>
    <xf numFmtId="0" fontId="26" fillId="5" borderId="0" xfId="14" applyFont="1" applyFill="1" applyAlignment="1" applyProtection="1"/>
    <xf numFmtId="0" fontId="26" fillId="5" borderId="0" xfId="14" applyFont="1" applyFill="1" applyProtection="1"/>
    <xf numFmtId="0" fontId="26" fillId="5" borderId="0" xfId="14" applyFont="1" applyFill="1" applyAlignment="1" applyProtection="1">
      <alignment textRotation="2"/>
    </xf>
    <xf numFmtId="0" fontId="26" fillId="5" borderId="0" xfId="14" applyFont="1" applyFill="1" applyBorder="1" applyAlignment="1" applyProtection="1">
      <alignment textRotation="2"/>
    </xf>
    <xf numFmtId="0" fontId="27" fillId="6" borderId="0" xfId="14" applyFont="1" applyFill="1" applyAlignment="1" applyProtection="1"/>
    <xf numFmtId="0" fontId="28" fillId="5" borderId="0" xfId="14" applyFont="1" applyFill="1" applyProtection="1"/>
    <xf numFmtId="0" fontId="29" fillId="5" borderId="0" xfId="14" applyFont="1" applyFill="1" applyAlignment="1" applyProtection="1">
      <alignment textRotation="2"/>
    </xf>
    <xf numFmtId="0" fontId="29" fillId="5" borderId="0" xfId="14" applyFont="1" applyFill="1" applyProtection="1"/>
    <xf numFmtId="0" fontId="29" fillId="5" borderId="0" xfId="14" applyFont="1" applyFill="1" applyBorder="1" applyAlignment="1" applyProtection="1">
      <alignment textRotation="2"/>
    </xf>
    <xf numFmtId="0" fontId="29" fillId="5" borderId="0" xfId="14" applyFont="1" applyFill="1" applyAlignment="1" applyProtection="1"/>
    <xf numFmtId="0" fontId="30" fillId="5" borderId="0" xfId="14" applyFont="1" applyFill="1" applyAlignment="1" applyProtection="1"/>
    <xf numFmtId="0" fontId="31" fillId="6" borderId="0" xfId="14" applyFont="1" applyFill="1" applyBorder="1" applyProtection="1"/>
    <xf numFmtId="0" fontId="28" fillId="6" borderId="0" xfId="14" applyFont="1" applyFill="1" applyBorder="1" applyProtection="1"/>
    <xf numFmtId="0" fontId="31" fillId="5" borderId="0" xfId="14" applyFont="1" applyFill="1" applyProtection="1"/>
    <xf numFmtId="0" fontId="13" fillId="7" borderId="0" xfId="14" applyFont="1" applyFill="1" applyBorder="1"/>
    <xf numFmtId="0" fontId="12" fillId="7" borderId="0" xfId="14" applyFont="1" applyFill="1" applyBorder="1"/>
    <xf numFmtId="0" fontId="13" fillId="7" borderId="6" xfId="14" applyNumberFormat="1" applyFont="1" applyFill="1" applyBorder="1" applyAlignment="1">
      <alignment horizontal="right"/>
    </xf>
    <xf numFmtId="0" fontId="13" fillId="7" borderId="0" xfId="14" applyNumberFormat="1" applyFont="1" applyFill="1" applyBorder="1" applyAlignment="1">
      <alignment horizontal="right"/>
    </xf>
    <xf numFmtId="0" fontId="28" fillId="7" borderId="0" xfId="14" applyFont="1" applyFill="1" applyBorder="1"/>
    <xf numFmtId="0" fontId="13" fillId="7" borderId="6" xfId="0" applyNumberFormat="1" applyFont="1" applyFill="1" applyBorder="1" applyAlignment="1">
      <alignment horizontal="right" vertical="center" wrapText="1"/>
    </xf>
    <xf numFmtId="0" fontId="13" fillId="7" borderId="0" xfId="0" applyNumberFormat="1" applyFont="1" applyFill="1" applyBorder="1" applyAlignment="1">
      <alignment horizontal="right" vertical="center" wrapText="1"/>
    </xf>
    <xf numFmtId="0" fontId="13" fillId="7" borderId="0" xfId="0" applyFont="1" applyFill="1" applyBorder="1" applyAlignment="1">
      <alignment horizontal="right" vertical="center" wrapText="1"/>
    </xf>
    <xf numFmtId="0" fontId="31" fillId="5" borderId="0" xfId="14" applyFont="1" applyFill="1" applyAlignment="1" applyProtection="1">
      <alignment horizontal="center"/>
    </xf>
    <xf numFmtId="0" fontId="31" fillId="6" borderId="0" xfId="14" applyFont="1" applyFill="1" applyBorder="1"/>
    <xf numFmtId="3" fontId="31" fillId="6" borderId="0" xfId="14" applyNumberFormat="1" applyFont="1" applyFill="1" applyBorder="1"/>
    <xf numFmtId="0" fontId="23" fillId="0" borderId="0" xfId="0" applyFont="1" applyAlignment="1">
      <alignment horizontal="center"/>
    </xf>
    <xf numFmtId="0" fontId="13" fillId="4" borderId="3" xfId="0" applyFont="1" applyFill="1" applyBorder="1"/>
    <xf numFmtId="0" fontId="12" fillId="4" borderId="3" xfId="0" applyFont="1" applyFill="1" applyBorder="1"/>
    <xf numFmtId="0" fontId="13" fillId="4" borderId="3" xfId="0" applyFont="1" applyFill="1" applyBorder="1" applyAlignment="1">
      <alignment horizontal="center"/>
    </xf>
    <xf numFmtId="0" fontId="32" fillId="0" borderId="0" xfId="0" applyFont="1" applyBorder="1"/>
    <xf numFmtId="0" fontId="32" fillId="0" borderId="0" xfId="0" applyFont="1" applyBorder="1" applyAlignment="1">
      <alignment horizontal="right"/>
    </xf>
    <xf numFmtId="0" fontId="0" fillId="0" borderId="0" xfId="0" applyFont="1"/>
    <xf numFmtId="0" fontId="33" fillId="0" borderId="0" xfId="0" applyFont="1"/>
    <xf numFmtId="0" fontId="34" fillId="0" borderId="0" xfId="0" applyFont="1"/>
    <xf numFmtId="172" fontId="0" fillId="0" borderId="0" xfId="0" applyNumberFormat="1" applyFont="1"/>
    <xf numFmtId="10" fontId="34" fillId="0" borderId="0" xfId="26" applyNumberFormat="1" applyFont="1"/>
    <xf numFmtId="171" fontId="35" fillId="0" borderId="0" xfId="0" applyNumberFormat="1" applyFont="1"/>
    <xf numFmtId="0" fontId="35" fillId="0" borderId="0" xfId="0" applyFont="1"/>
    <xf numFmtId="171" fontId="36" fillId="0" borderId="0" xfId="0" applyNumberFormat="1" applyFont="1"/>
    <xf numFmtId="0" fontId="36" fillId="0" borderId="0" xfId="0" applyFont="1"/>
    <xf numFmtId="173" fontId="12" fillId="0" borderId="0" xfId="0" applyNumberFormat="1" applyFont="1"/>
    <xf numFmtId="0" fontId="37" fillId="0" borderId="0" xfId="13" applyFont="1" applyFill="1" applyAlignment="1">
      <alignment horizontal="left" vertical="center"/>
    </xf>
    <xf numFmtId="1" fontId="38" fillId="0" borderId="1" xfId="26" applyNumberFormat="1" applyFont="1" applyFill="1" applyBorder="1" applyAlignment="1">
      <alignment horizontal="right"/>
    </xf>
    <xf numFmtId="0" fontId="12" fillId="0" borderId="0" xfId="0" applyFont="1" applyAlignment="1">
      <alignment horizontal="left"/>
    </xf>
    <xf numFmtId="0" fontId="12" fillId="0" borderId="0" xfId="0" applyFont="1"/>
    <xf numFmtId="0" fontId="40" fillId="8" borderId="0" xfId="0" applyFont="1" applyFill="1"/>
    <xf numFmtId="169" fontId="41" fillId="8" borderId="0" xfId="0" applyNumberFormat="1" applyFont="1" applyFill="1"/>
    <xf numFmtId="0" fontId="0" fillId="0" borderId="2" xfId="0" applyBorder="1"/>
    <xf numFmtId="1" fontId="42" fillId="2" borderId="1" xfId="26" applyNumberFormat="1" applyFont="1" applyFill="1" applyBorder="1" applyAlignment="1">
      <alignment horizontal="right"/>
    </xf>
    <xf numFmtId="10" fontId="42" fillId="2" borderId="0" xfId="26" applyNumberFormat="1" applyFont="1" applyFill="1"/>
    <xf numFmtId="1" fontId="42" fillId="2" borderId="0" xfId="26" applyNumberFormat="1" applyFont="1" applyFill="1"/>
    <xf numFmtId="1" fontId="42" fillId="2" borderId="0" xfId="26" applyNumberFormat="1" applyFont="1" applyFill="1" applyAlignment="1">
      <alignment horizontal="right"/>
    </xf>
    <xf numFmtId="0" fontId="44" fillId="2" borderId="7" xfId="0" applyFont="1" applyFill="1" applyBorder="1" applyAlignment="1">
      <alignment vertical="center"/>
    </xf>
    <xf numFmtId="0" fontId="44" fillId="2" borderId="5" xfId="0" applyFont="1" applyFill="1" applyBorder="1" applyAlignment="1">
      <alignment vertical="center"/>
    </xf>
    <xf numFmtId="0" fontId="44" fillId="2" borderId="8" xfId="0" applyFont="1" applyFill="1" applyBorder="1" applyAlignment="1">
      <alignment vertical="center"/>
    </xf>
    <xf numFmtId="168" fontId="44" fillId="2" borderId="1" xfId="0" applyNumberFormat="1" applyFont="1" applyFill="1" applyBorder="1" applyAlignment="1">
      <alignment horizontal="right" vertical="top"/>
    </xf>
    <xf numFmtId="170" fontId="44" fillId="2" borderId="1" xfId="0" applyNumberFormat="1" applyFont="1" applyFill="1" applyBorder="1" applyAlignment="1">
      <alignment horizontal="right" vertical="top"/>
    </xf>
    <xf numFmtId="1" fontId="44" fillId="2" borderId="1" xfId="0" applyNumberFormat="1" applyFont="1" applyFill="1" applyBorder="1"/>
    <xf numFmtId="166" fontId="44" fillId="2" borderId="1" xfId="0" applyNumberFormat="1" applyFont="1" applyFill="1" applyBorder="1"/>
    <xf numFmtId="0" fontId="44" fillId="2" borderId="7" xfId="0" applyFont="1" applyFill="1" applyBorder="1"/>
    <xf numFmtId="172" fontId="12" fillId="0" borderId="0" xfId="0" applyNumberFormat="1" applyFont="1"/>
    <xf numFmtId="169" fontId="39" fillId="5" borderId="0" xfId="0" applyNumberFormat="1" applyFont="1" applyFill="1" applyAlignment="1">
      <alignment horizontal="left"/>
    </xf>
    <xf numFmtId="0" fontId="45" fillId="5" borderId="0" xfId="14" applyFont="1" applyFill="1" applyAlignment="1" applyProtection="1"/>
    <xf numFmtId="0" fontId="46" fillId="0" borderId="0" xfId="0" applyFont="1"/>
    <xf numFmtId="0" fontId="47" fillId="0" borderId="0" xfId="0" applyFont="1"/>
    <xf numFmtId="0" fontId="13" fillId="4" borderId="2" xfId="0" applyFont="1" applyFill="1" applyBorder="1" applyAlignment="1">
      <alignment horizontal="left"/>
    </xf>
    <xf numFmtId="0" fontId="13" fillId="9" borderId="0" xfId="0" applyFont="1" applyFill="1" applyBorder="1" applyAlignment="1">
      <alignment horizontal="center"/>
    </xf>
    <xf numFmtId="0" fontId="13" fillId="0" borderId="3" xfId="0" applyFont="1" applyBorder="1" applyAlignment="1">
      <alignment horizontal="left"/>
    </xf>
    <xf numFmtId="0" fontId="13" fillId="10" borderId="0" xfId="0" applyFont="1" applyFill="1" applyBorder="1"/>
    <xf numFmtId="6" fontId="13" fillId="10" borderId="0" xfId="0" applyNumberFormat="1" applyFont="1" applyFill="1" applyBorder="1"/>
    <xf numFmtId="167" fontId="44" fillId="2" borderId="1" xfId="0" applyNumberFormat="1" applyFont="1" applyFill="1" applyBorder="1" applyAlignment="1">
      <alignment horizontal="right" vertical="top"/>
    </xf>
    <xf numFmtId="170" fontId="44" fillId="0" borderId="1" xfId="0" applyNumberFormat="1" applyFont="1" applyFill="1" applyBorder="1" applyAlignment="1">
      <alignment horizontal="right" vertical="top"/>
    </xf>
    <xf numFmtId="170" fontId="44" fillId="0" borderId="1" xfId="0" applyNumberFormat="1" applyFont="1" applyFill="1" applyBorder="1"/>
    <xf numFmtId="166" fontId="44" fillId="0" borderId="1" xfId="0" applyNumberFormat="1" applyFont="1" applyFill="1" applyBorder="1"/>
    <xf numFmtId="1" fontId="44" fillId="0" borderId="1" xfId="0" applyNumberFormat="1" applyFont="1" applyFill="1" applyBorder="1"/>
    <xf numFmtId="0" fontId="13" fillId="4" borderId="2" xfId="0" applyFont="1" applyFill="1" applyBorder="1" applyAlignment="1">
      <alignment horizontal="center"/>
    </xf>
    <xf numFmtId="0" fontId="12" fillId="4" borderId="10" xfId="0" applyFont="1" applyFill="1" applyBorder="1" applyAlignment="1">
      <alignment horizontal="centerContinuous"/>
    </xf>
    <xf numFmtId="0" fontId="13" fillId="4" borderId="11" xfId="0" applyFont="1" applyFill="1" applyBorder="1" applyAlignment="1">
      <alignment horizontal="left"/>
    </xf>
    <xf numFmtId="0" fontId="13" fillId="4" borderId="11" xfId="0" applyFont="1" applyFill="1" applyBorder="1" applyAlignment="1">
      <alignment horizontal="centerContinuous"/>
    </xf>
    <xf numFmtId="0" fontId="13" fillId="4" borderId="11" xfId="0" applyFont="1" applyFill="1" applyBorder="1" applyAlignment="1">
      <alignment horizontal="center"/>
    </xf>
    <xf numFmtId="0" fontId="31" fillId="5" borderId="0" xfId="28" applyNumberFormat="1" applyFont="1" applyFill="1" applyBorder="1" applyAlignment="1" applyProtection="1">
      <alignment vertical="center"/>
      <protection locked="0"/>
    </xf>
    <xf numFmtId="9" fontId="31" fillId="2" borderId="0" xfId="14" quotePrefix="1" applyNumberFormat="1" applyFont="1" applyFill="1" applyAlignment="1">
      <alignment horizontal="center"/>
    </xf>
    <xf numFmtId="9" fontId="31" fillId="2" borderId="0" xfId="14" applyNumberFormat="1" applyFont="1" applyFill="1" applyAlignment="1">
      <alignment horizontal="center"/>
    </xf>
    <xf numFmtId="6" fontId="12" fillId="0" borderId="0" xfId="0" applyNumberFormat="1" applyFont="1" applyFill="1" applyBorder="1" applyAlignment="1">
      <alignment horizontal="right" vertical="top"/>
    </xf>
    <xf numFmtId="9" fontId="44" fillId="2" borderId="5" xfId="26" applyFont="1" applyFill="1" applyBorder="1" applyAlignment="1">
      <alignment horizontal="center" vertical="center"/>
    </xf>
    <xf numFmtId="174" fontId="44" fillId="2" borderId="1" xfId="0" applyNumberFormat="1" applyFont="1" applyFill="1" applyBorder="1"/>
    <xf numFmtId="0" fontId="12" fillId="0" borderId="3" xfId="0" applyFont="1" applyBorder="1"/>
    <xf numFmtId="0" fontId="12" fillId="0" borderId="3" xfId="0" applyFont="1" applyBorder="1" applyAlignment="1">
      <alignment horizontal="center"/>
    </xf>
    <xf numFmtId="0" fontId="49" fillId="0" borderId="0" xfId="0" applyFont="1"/>
    <xf numFmtId="6" fontId="12" fillId="0" borderId="0" xfId="0" applyNumberFormat="1" applyFont="1"/>
    <xf numFmtId="0" fontId="50" fillId="0" borderId="0" xfId="0" applyFont="1"/>
    <xf numFmtId="8" fontId="12" fillId="0" borderId="0" xfId="0" applyNumberFormat="1" applyFont="1"/>
    <xf numFmtId="0" fontId="35" fillId="0" borderId="2" xfId="0" applyFont="1" applyBorder="1" applyAlignment="1">
      <alignment horizontal="left"/>
    </xf>
    <xf numFmtId="0" fontId="35" fillId="0" borderId="2" xfId="0" applyFont="1" applyBorder="1" applyAlignment="1">
      <alignment horizontal="right"/>
    </xf>
    <xf numFmtId="0" fontId="0" fillId="0" borderId="0" xfId="0" applyBorder="1"/>
    <xf numFmtId="0" fontId="36" fillId="0" borderId="0" xfId="0" applyFont="1" applyBorder="1" applyAlignment="1">
      <alignment horizontal="right"/>
    </xf>
    <xf numFmtId="0" fontId="43" fillId="0" borderId="0" xfId="0" applyFont="1" applyBorder="1" applyAlignment="1">
      <alignment horizontal="right"/>
    </xf>
    <xf numFmtId="0" fontId="12" fillId="8" borderId="0" xfId="0" applyFont="1" applyFill="1"/>
    <xf numFmtId="167" fontId="12" fillId="8" borderId="0" xfId="0" applyNumberFormat="1" applyFont="1" applyFill="1"/>
    <xf numFmtId="3" fontId="28" fillId="6" borderId="0" xfId="14" applyNumberFormat="1" applyFont="1" applyFill="1" applyBorder="1"/>
    <xf numFmtId="0" fontId="44" fillId="6" borderId="0" xfId="14" applyFont="1" applyFill="1" applyBorder="1"/>
    <xf numFmtId="3" fontId="44" fillId="6" borderId="0" xfId="14" applyNumberFormat="1" applyFont="1" applyFill="1" applyBorder="1"/>
    <xf numFmtId="3" fontId="27" fillId="6" borderId="0" xfId="14" applyNumberFormat="1" applyFont="1" applyFill="1" applyBorder="1"/>
    <xf numFmtId="3" fontId="12" fillId="0" borderId="3" xfId="0" applyNumberFormat="1" applyFont="1" applyBorder="1"/>
    <xf numFmtId="9" fontId="31" fillId="6" borderId="0" xfId="26" applyFont="1" applyFill="1" applyBorder="1"/>
    <xf numFmtId="175" fontId="31" fillId="6" borderId="0" xfId="26" applyNumberFormat="1" applyFont="1" applyFill="1" applyBorder="1"/>
    <xf numFmtId="8" fontId="12" fillId="8" borderId="12" xfId="0" applyNumberFormat="1" applyFont="1" applyFill="1" applyBorder="1" applyAlignment="1">
      <alignment horizontal="center" vertical="center"/>
    </xf>
    <xf numFmtId="0" fontId="13" fillId="7" borderId="0" xfId="14" applyNumberFormat="1" applyFont="1" applyFill="1" applyBorder="1" applyAlignment="1">
      <alignment horizontal="center"/>
    </xf>
    <xf numFmtId="0" fontId="13" fillId="4" borderId="2" xfId="0" applyFont="1" applyFill="1" applyBorder="1" applyAlignment="1">
      <alignment horizontal="center"/>
    </xf>
    <xf numFmtId="0" fontId="13" fillId="4" borderId="10" xfId="0" applyFont="1" applyFill="1" applyBorder="1" applyAlignment="1">
      <alignment horizontal="center"/>
    </xf>
  </cellXfs>
  <cellStyles count="29">
    <cellStyle name="Comma 2" xfId="11"/>
    <cellStyle name="Comma 3" xfId="24"/>
    <cellStyle name="Comma_MTHREP2 2" xfId="28"/>
    <cellStyle name="Currency 2" xfId="5"/>
    <cellStyle name="Currency 3" xfId="10"/>
    <cellStyle name="Currency 4" xfId="8"/>
    <cellStyle name="Currency 5" xfId="19"/>
    <cellStyle name="Currency 6" xfId="21"/>
    <cellStyle name="Normal" xfId="0" builtinId="0"/>
    <cellStyle name="Normal 2" xfId="1"/>
    <cellStyle name="Normal 2 2" xfId="3"/>
    <cellStyle name="Normal 2 3" xfId="4"/>
    <cellStyle name="Normal 2 4" xfId="6"/>
    <cellStyle name="Normal 3" xfId="2"/>
    <cellStyle name="Normal 3 2" xfId="14"/>
    <cellStyle name="Normal 3 3" xfId="22"/>
    <cellStyle name="Normal 3 3 2" xfId="25"/>
    <cellStyle name="Normal 4" xfId="7"/>
    <cellStyle name="Normal 5" xfId="13"/>
    <cellStyle name="Normal 6" xfId="15"/>
    <cellStyle name="Normal 7" xfId="16"/>
    <cellStyle name="Normal 8" xfId="17"/>
    <cellStyle name="Normal 9" xfId="20"/>
    <cellStyle name="Percent" xfId="26" builtinId="5"/>
    <cellStyle name="Percent 2" xfId="12"/>
    <cellStyle name="Percent 3" xfId="9"/>
    <cellStyle name="Percent 4" xfId="18"/>
    <cellStyle name="Percent 5" xfId="23"/>
    <cellStyle name="User_Input_Actual" xfId="27"/>
  </cellStyles>
  <dxfs count="33"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0000"/>
        </patternFill>
      </fill>
    </dxf>
    <dxf>
      <font>
        <b/>
        <i val="0"/>
        <color auto="1"/>
      </font>
      <numFmt numFmtId="3" formatCode="#,##0"/>
      <fill>
        <patternFill>
          <bgColor rgb="FFFF6600"/>
        </patternFill>
      </fill>
    </dxf>
  </dxfs>
  <tableStyles count="0" defaultTableStyle="TableStyleMedium2" defaultPivotStyle="PivotStyleLight16"/>
  <colors>
    <mruColors>
      <color rgb="FF0000FF"/>
      <color rgb="FFFFFFCC"/>
      <color rgb="FFEBF2F9"/>
      <color rgb="FFE5EEF7"/>
      <color rgb="FFD6E5F2"/>
      <color rgb="FFFF6600"/>
      <color rgb="FF0033CC"/>
      <color rgb="FFFFCCFF"/>
      <color rgb="FF000099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upporting/CP%20MOD%208.02%20-%20Facilities%20security%20-%20Jan2020%20-%20Publi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put CP"/>
      <sheetName val="Output PAL"/>
      <sheetName val="Output"/>
      <sheetName val="Summary"/>
      <sheetName val="Assumptions"/>
      <sheetName val="Option 1 IT"/>
      <sheetName val="Option 1 Property"/>
      <sheetName val="Option 2 IT"/>
      <sheetName val="Option 2 Property"/>
    </sheetNames>
    <sheetDataSet>
      <sheetData sheetId="0"/>
      <sheetData sheetId="1">
        <row r="12">
          <cell r="AB12">
            <v>30209.708119307557</v>
          </cell>
        </row>
      </sheetData>
      <sheetData sheetId="2"/>
      <sheetData sheetId="3"/>
      <sheetData sheetId="4">
        <row r="1">
          <cell r="A1" t="str">
            <v>Facilities Security</v>
          </cell>
        </row>
        <row r="17">
          <cell r="B17" t="str">
            <v>2020/21</v>
          </cell>
        </row>
      </sheetData>
      <sheetData sheetId="5">
        <row r="8">
          <cell r="R8" t="str">
            <v>2021/22</v>
          </cell>
          <cell r="S8" t="str">
            <v>2022/23</v>
          </cell>
          <cell r="T8" t="str">
            <v>2023/24</v>
          </cell>
          <cell r="U8" t="str">
            <v>2024/25</v>
          </cell>
          <cell r="V8" t="str">
            <v>2025/26</v>
          </cell>
        </row>
        <row r="44">
          <cell r="C44" t="str">
            <v>Labour</v>
          </cell>
          <cell r="R44">
            <v>465510</v>
          </cell>
          <cell r="S44">
            <v>485510</v>
          </cell>
          <cell r="T44">
            <v>495510</v>
          </cell>
          <cell r="U44">
            <v>1395510</v>
          </cell>
          <cell r="V44">
            <v>195510</v>
          </cell>
        </row>
        <row r="45">
          <cell r="C45" t="str">
            <v>Materials</v>
          </cell>
          <cell r="R45">
            <v>1021020</v>
          </cell>
          <cell r="S45">
            <v>431020</v>
          </cell>
          <cell r="T45">
            <v>411020</v>
          </cell>
          <cell r="U45">
            <v>1861020</v>
          </cell>
          <cell r="V45">
            <v>211020</v>
          </cell>
        </row>
        <row r="46">
          <cell r="C46" t="str">
            <v>Contracts</v>
          </cell>
          <cell r="R46">
            <v>130000</v>
          </cell>
          <cell r="S46">
            <v>250000</v>
          </cell>
          <cell r="T46">
            <v>80000</v>
          </cell>
          <cell r="U46">
            <v>600000</v>
          </cell>
          <cell r="V46">
            <v>0</v>
          </cell>
        </row>
        <row r="47">
          <cell r="C47" t="str">
            <v>Labour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C48" t="str">
            <v>Materials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</row>
        <row r="49">
          <cell r="C49" t="str">
            <v>Contracts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</row>
      </sheetData>
      <sheetData sheetId="6"/>
      <sheetData sheetId="7">
        <row r="44">
          <cell r="C44" t="str">
            <v>Labour</v>
          </cell>
          <cell r="R44">
            <v>783626.40124891186</v>
          </cell>
          <cell r="S44">
            <v>803626.40124891186</v>
          </cell>
          <cell r="T44">
            <v>813626.40124891186</v>
          </cell>
          <cell r="U44">
            <v>1713626.4012489119</v>
          </cell>
          <cell r="V44">
            <v>513626.4012489118</v>
          </cell>
        </row>
        <row r="45">
          <cell r="C45" t="str">
            <v>Materials</v>
          </cell>
          <cell r="R45">
            <v>1372962.5987510884</v>
          </cell>
          <cell r="S45">
            <v>782962.59875108837</v>
          </cell>
          <cell r="T45">
            <v>762962.59875108837</v>
          </cell>
          <cell r="U45">
            <v>2212962.5987510886</v>
          </cell>
          <cell r="V45">
            <v>562962.59875108837</v>
          </cell>
        </row>
        <row r="46">
          <cell r="C46" t="str">
            <v>Contracts</v>
          </cell>
          <cell r="R46">
            <v>130000</v>
          </cell>
          <cell r="S46">
            <v>250000</v>
          </cell>
          <cell r="T46">
            <v>80000</v>
          </cell>
          <cell r="U46">
            <v>600000</v>
          </cell>
          <cell r="V46">
            <v>0</v>
          </cell>
        </row>
        <row r="47">
          <cell r="C47" t="str">
            <v>Labour</v>
          </cell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</row>
        <row r="48">
          <cell r="C48" t="str">
            <v>Materials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</row>
        <row r="49">
          <cell r="C49" t="str">
            <v>Contracts</v>
          </cell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</row>
      </sheetData>
      <sheetData sheetId="8">
        <row r="44">
          <cell r="C44" t="str">
            <v>Labour</v>
          </cell>
          <cell r="R44">
            <v>580000</v>
          </cell>
          <cell r="S44">
            <v>360000</v>
          </cell>
          <cell r="T44">
            <v>450000</v>
          </cell>
          <cell r="U44">
            <v>0</v>
          </cell>
          <cell r="V44">
            <v>0</v>
          </cell>
        </row>
        <row r="45">
          <cell r="C45" t="str">
            <v>Labour</v>
          </cell>
          <cell r="R45">
            <v>6598294.7525636796</v>
          </cell>
          <cell r="S45">
            <v>6598294.7525636796</v>
          </cell>
          <cell r="T45">
            <v>6598294.7525636796</v>
          </cell>
          <cell r="U45">
            <v>6598294.7525636796</v>
          </cell>
          <cell r="V45">
            <v>6598294.7525636796</v>
          </cell>
        </row>
        <row r="46">
          <cell r="C46" t="str">
            <v>Labour</v>
          </cell>
          <cell r="R46">
            <v>858566.87116564414</v>
          </cell>
          <cell r="S46">
            <v>858566.87116564414</v>
          </cell>
          <cell r="T46">
            <v>858566.87116564414</v>
          </cell>
          <cell r="U46">
            <v>858566.87116564414</v>
          </cell>
          <cell r="V46">
            <v>858566.87116564414</v>
          </cell>
        </row>
        <row r="47">
          <cell r="C47" t="str">
            <v>Labour</v>
          </cell>
          <cell r="R47">
            <v>1352040</v>
          </cell>
          <cell r="S47">
            <v>1352040</v>
          </cell>
          <cell r="T47">
            <v>1352040</v>
          </cell>
          <cell r="U47">
            <v>1352040</v>
          </cell>
          <cell r="V47">
            <v>1352040</v>
          </cell>
        </row>
        <row r="48">
          <cell r="C48" t="str">
            <v>Materials</v>
          </cell>
          <cell r="R48">
            <v>4390000</v>
          </cell>
          <cell r="S48">
            <v>1980000</v>
          </cell>
          <cell r="T48">
            <v>300000</v>
          </cell>
          <cell r="U48">
            <v>0</v>
          </cell>
          <cell r="V48">
            <v>0</v>
          </cell>
        </row>
        <row r="49">
          <cell r="C49" t="str">
            <v>Materials</v>
          </cell>
          <cell r="R49">
            <v>7887286.2474363213</v>
          </cell>
          <cell r="S49">
            <v>7887286.2474363213</v>
          </cell>
          <cell r="T49">
            <v>7887286.2474363213</v>
          </cell>
          <cell r="U49">
            <v>7887286.2474363213</v>
          </cell>
          <cell r="V49">
            <v>7887286.2474363213</v>
          </cell>
        </row>
        <row r="50">
          <cell r="C50" t="str">
            <v>Materials</v>
          </cell>
          <cell r="R50">
            <v>413673.12883435586</v>
          </cell>
          <cell r="S50">
            <v>413673.12883435586</v>
          </cell>
          <cell r="T50">
            <v>413673.12883435586</v>
          </cell>
          <cell r="U50">
            <v>413673.12883435586</v>
          </cell>
          <cell r="V50">
            <v>413673.12883435586</v>
          </cell>
        </row>
        <row r="51">
          <cell r="C51" t="str">
            <v>Materials</v>
          </cell>
          <cell r="R51">
            <v>1445330</v>
          </cell>
          <cell r="S51">
            <v>1445330</v>
          </cell>
          <cell r="T51">
            <v>1445330</v>
          </cell>
          <cell r="U51">
            <v>1445330</v>
          </cell>
          <cell r="V51">
            <v>1445330</v>
          </cell>
        </row>
        <row r="52">
          <cell r="C52" t="str">
            <v>Contracts</v>
          </cell>
          <cell r="R52">
            <v>120000</v>
          </cell>
          <cell r="S52">
            <v>0</v>
          </cell>
          <cell r="T52">
            <v>120000</v>
          </cell>
          <cell r="U52">
            <v>0</v>
          </cell>
          <cell r="V52">
            <v>0</v>
          </cell>
        </row>
        <row r="53">
          <cell r="C53" t="str">
            <v>Contracts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</row>
        <row r="54">
          <cell r="C54" t="str">
            <v>Contracts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</row>
        <row r="55">
          <cell r="C55" t="str">
            <v>Contracts</v>
          </cell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L29"/>
  <sheetViews>
    <sheetView showGridLines="0" tabSelected="1" zoomScale="80" zoomScaleNormal="80" workbookViewId="0">
      <selection activeCell="F23" sqref="F23"/>
    </sheetView>
  </sheetViews>
  <sheetFormatPr defaultColWidth="9.140625" defaultRowHeight="18.75" x14ac:dyDescent="0.3"/>
  <cols>
    <col min="1" max="1" width="4.28515625" style="43" customWidth="1"/>
    <col min="2" max="2" width="7.85546875" style="43" customWidth="1"/>
    <col min="3" max="3" width="15.140625" style="43" customWidth="1"/>
    <col min="4" max="4" width="12" style="43" customWidth="1"/>
    <col min="5" max="5" width="4.42578125" style="43" customWidth="1"/>
    <col min="6" max="9" width="10.7109375" style="43" customWidth="1"/>
    <col min="10" max="10" width="10.7109375" style="72" customWidth="1"/>
    <col min="11" max="20" width="10.7109375" style="43" customWidth="1"/>
    <col min="21" max="21" width="2.5703125" style="43" customWidth="1"/>
    <col min="22" max="26" width="10.7109375" style="43" customWidth="1"/>
    <col min="27" max="27" width="2" style="43" customWidth="1"/>
    <col min="28" max="28" width="10.7109375" style="43" customWidth="1"/>
    <col min="29" max="29" width="2" style="43" customWidth="1"/>
    <col min="30" max="32" width="10.7109375" style="43" customWidth="1"/>
    <col min="33" max="33" width="2.7109375" style="43" customWidth="1"/>
    <col min="34" max="34" width="5.28515625" style="43" customWidth="1"/>
    <col min="35" max="35" width="9.140625" style="43"/>
    <col min="36" max="36" width="9.7109375" style="43" customWidth="1"/>
    <col min="37" max="16384" width="9.140625" style="43"/>
  </cols>
  <sheetData>
    <row r="1" spans="1:38" ht="21" x14ac:dyDescent="0.35">
      <c r="A1" s="18" t="str">
        <f>Assumptions!A1</f>
        <v>Non-Network Capex</v>
      </c>
      <c r="B1" s="41"/>
      <c r="C1" s="41"/>
      <c r="D1" s="41"/>
      <c r="E1" s="41"/>
      <c r="F1" s="41"/>
      <c r="G1" s="41"/>
      <c r="H1" s="41"/>
      <c r="I1" s="41"/>
      <c r="J1" s="42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</row>
    <row r="2" spans="1:38" x14ac:dyDescent="0.3">
      <c r="A2" s="17" t="str">
        <f>Assumptions!A2</f>
        <v>CP</v>
      </c>
      <c r="B2" s="41"/>
      <c r="C2" s="41"/>
      <c r="D2" s="41"/>
      <c r="E2" s="41"/>
      <c r="F2" s="41"/>
      <c r="G2" s="41"/>
      <c r="H2" s="41"/>
      <c r="I2" s="41"/>
      <c r="J2" s="42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8" s="46" customFormat="1" x14ac:dyDescent="0.3">
      <c r="A3" s="35" t="s">
        <v>40</v>
      </c>
      <c r="B3" s="44"/>
      <c r="C3" s="44"/>
      <c r="D3" s="44"/>
      <c r="E3" s="44"/>
      <c r="F3" s="44"/>
      <c r="G3" s="44"/>
      <c r="H3" s="44"/>
      <c r="I3" s="44"/>
      <c r="J3" s="44"/>
      <c r="K3" s="45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  <c r="AG3" s="44"/>
      <c r="AH3" s="44"/>
    </row>
    <row r="4" spans="1:38" ht="12.75" customHeight="1" x14ac:dyDescent="0.3">
      <c r="A4" s="47"/>
      <c r="B4" s="47"/>
      <c r="C4" s="48"/>
      <c r="D4" s="48"/>
      <c r="E4" s="49"/>
      <c r="F4" s="48"/>
      <c r="G4" s="48"/>
      <c r="H4" s="49"/>
      <c r="I4" s="49"/>
      <c r="J4" s="49"/>
      <c r="K4" s="49"/>
      <c r="L4" s="49"/>
      <c r="M4" s="50"/>
      <c r="N4" s="50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</row>
    <row r="5" spans="1:38" s="2" customFormat="1" ht="12.75" customHeight="1" x14ac:dyDescent="0.2">
      <c r="A5" s="51"/>
      <c r="B5" s="53"/>
      <c r="C5" s="52"/>
      <c r="D5" s="53"/>
      <c r="E5" s="53"/>
      <c r="F5" s="54"/>
      <c r="G5" s="54"/>
      <c r="H5" s="53"/>
      <c r="I5" s="53"/>
      <c r="J5" s="53"/>
      <c r="K5" s="53"/>
      <c r="L5" s="53"/>
      <c r="M5" s="55"/>
      <c r="N5" s="55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</row>
    <row r="6" spans="1:38" s="2" customFormat="1" ht="12.75" customHeight="1" x14ac:dyDescent="0.2">
      <c r="A6" s="51"/>
      <c r="B6" s="109" t="s">
        <v>34</v>
      </c>
      <c r="C6" s="60"/>
      <c r="D6" s="108" t="b">
        <f xml:space="preserve"> AND(TRUE, TRUE,TRUE,TRUE,TRUE)</f>
        <v>1</v>
      </c>
      <c r="E6" s="53"/>
      <c r="F6" s="54"/>
      <c r="G6" s="54"/>
      <c r="H6" s="53"/>
      <c r="I6" s="53"/>
      <c r="J6" s="53"/>
      <c r="K6" s="53"/>
      <c r="L6" s="53"/>
      <c r="M6" s="55"/>
      <c r="N6" s="55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</row>
    <row r="7" spans="1:38" s="2" customFormat="1" ht="12.75" customHeight="1" x14ac:dyDescent="0.2">
      <c r="A7" s="51"/>
      <c r="B7" s="51"/>
      <c r="C7" s="51"/>
      <c r="D7" s="51"/>
      <c r="E7" s="51"/>
      <c r="F7" s="51"/>
      <c r="G7" s="54"/>
      <c r="H7" s="53"/>
      <c r="I7" s="53"/>
      <c r="J7" s="53"/>
      <c r="K7" s="53"/>
      <c r="L7" s="53"/>
      <c r="M7" s="55"/>
      <c r="N7" s="55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</row>
    <row r="8" spans="1:38" s="2" customFormat="1" ht="12.75" customHeight="1" x14ac:dyDescent="0.3">
      <c r="A8" s="56"/>
      <c r="B8" s="57"/>
      <c r="C8" s="54"/>
      <c r="D8" s="54"/>
      <c r="E8" s="53"/>
      <c r="F8" s="54"/>
      <c r="G8" s="54"/>
      <c r="H8" s="53"/>
      <c r="I8" s="53"/>
      <c r="J8" s="53"/>
      <c r="K8" s="53"/>
      <c r="L8" s="53"/>
      <c r="M8" s="55"/>
      <c r="N8" s="55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J8" s="43"/>
      <c r="AK8" s="43"/>
      <c r="AL8" s="43"/>
    </row>
    <row r="9" spans="1:38" s="2" customFormat="1" ht="12.75" customHeight="1" x14ac:dyDescent="0.3">
      <c r="A9" s="58"/>
      <c r="B9" s="59" t="s">
        <v>41</v>
      </c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J9" s="43"/>
      <c r="AK9" s="43"/>
      <c r="AL9" s="43"/>
    </row>
    <row r="10" spans="1:38" s="2" customFormat="1" ht="12.75" customHeight="1" x14ac:dyDescent="0.3">
      <c r="A10" s="60"/>
      <c r="B10" s="61"/>
      <c r="C10" s="62"/>
      <c r="D10" s="62"/>
      <c r="E10" s="63"/>
      <c r="F10" s="64" t="s">
        <v>15</v>
      </c>
      <c r="G10" s="64" t="str">
        <f>F10</f>
        <v>2021/22</v>
      </c>
      <c r="H10" s="63" t="str">
        <f>G10</f>
        <v>2021/22</v>
      </c>
      <c r="I10" s="64" t="s">
        <v>16</v>
      </c>
      <c r="J10" s="64" t="str">
        <f>I10</f>
        <v>2022/23</v>
      </c>
      <c r="K10" s="63" t="str">
        <f>J10</f>
        <v>2022/23</v>
      </c>
      <c r="L10" s="64" t="s">
        <v>17</v>
      </c>
      <c r="M10" s="64" t="str">
        <f>L10</f>
        <v>2023/24</v>
      </c>
      <c r="N10" s="63" t="str">
        <f>M10</f>
        <v>2023/24</v>
      </c>
      <c r="O10" s="64" t="s">
        <v>18</v>
      </c>
      <c r="P10" s="64" t="str">
        <f>O10</f>
        <v>2024/25</v>
      </c>
      <c r="Q10" s="63" t="str">
        <f>P10</f>
        <v>2024/25</v>
      </c>
      <c r="R10" s="64" t="s">
        <v>19</v>
      </c>
      <c r="S10" s="64" t="str">
        <f>R10</f>
        <v>2025/26</v>
      </c>
      <c r="T10" s="63" t="str">
        <f>S10</f>
        <v>2025/26</v>
      </c>
      <c r="U10" s="60"/>
      <c r="V10" s="64" t="str">
        <f>F10</f>
        <v>2021/22</v>
      </c>
      <c r="W10" s="64" t="str">
        <f>I10</f>
        <v>2022/23</v>
      </c>
      <c r="X10" s="64" t="str">
        <f>L10</f>
        <v>2023/24</v>
      </c>
      <c r="Y10" s="64" t="str">
        <f>O10</f>
        <v>2024/25</v>
      </c>
      <c r="Z10" s="64" t="str">
        <f>R10</f>
        <v>2025/26</v>
      </c>
      <c r="AA10" s="60"/>
      <c r="AB10" s="64" t="s">
        <v>21</v>
      </c>
      <c r="AC10" s="53"/>
      <c r="AD10" s="154" t="s">
        <v>21</v>
      </c>
      <c r="AE10" s="154"/>
      <c r="AF10" s="154"/>
      <c r="AG10" s="53"/>
      <c r="AH10" s="60" t="s">
        <v>11</v>
      </c>
      <c r="AI10" s="2" t="s">
        <v>11</v>
      </c>
      <c r="AJ10" s="43"/>
      <c r="AK10" s="43"/>
      <c r="AL10" s="43"/>
    </row>
    <row r="11" spans="1:38" s="2" customFormat="1" ht="12.75" customHeight="1" x14ac:dyDescent="0.3">
      <c r="A11" s="60"/>
      <c r="B11" s="65" t="s">
        <v>22</v>
      </c>
      <c r="C11" s="65" t="s">
        <v>23</v>
      </c>
      <c r="D11" s="65"/>
      <c r="E11" s="66"/>
      <c r="F11" s="67" t="s">
        <v>1</v>
      </c>
      <c r="G11" s="67" t="s">
        <v>0</v>
      </c>
      <c r="H11" s="66" t="s">
        <v>3</v>
      </c>
      <c r="I11" s="67" t="s">
        <v>1</v>
      </c>
      <c r="J11" s="67" t="s">
        <v>0</v>
      </c>
      <c r="K11" s="66" t="s">
        <v>3</v>
      </c>
      <c r="L11" s="67" t="s">
        <v>1</v>
      </c>
      <c r="M11" s="67" t="s">
        <v>0</v>
      </c>
      <c r="N11" s="66" t="s">
        <v>3</v>
      </c>
      <c r="O11" s="67" t="s">
        <v>1</v>
      </c>
      <c r="P11" s="67" t="s">
        <v>0</v>
      </c>
      <c r="Q11" s="66" t="s">
        <v>3</v>
      </c>
      <c r="R11" s="68" t="s">
        <v>1</v>
      </c>
      <c r="S11" s="68" t="s">
        <v>0</v>
      </c>
      <c r="T11" s="68" t="s">
        <v>3</v>
      </c>
      <c r="U11" s="60"/>
      <c r="V11" s="68"/>
      <c r="W11" s="68"/>
      <c r="X11" s="68"/>
      <c r="Y11" s="68"/>
      <c r="Z11" s="68"/>
      <c r="AA11" s="60"/>
      <c r="AB11" s="68"/>
      <c r="AC11" s="53"/>
      <c r="AD11" s="68" t="s">
        <v>1</v>
      </c>
      <c r="AE11" s="68" t="s">
        <v>0</v>
      </c>
      <c r="AF11" s="68" t="s">
        <v>3</v>
      </c>
      <c r="AG11" s="53"/>
      <c r="AH11" s="60"/>
      <c r="AJ11" s="43"/>
      <c r="AK11" s="43"/>
      <c r="AL11" s="43"/>
    </row>
    <row r="12" spans="1:38" s="2" customFormat="1" ht="12.75" customHeight="1" x14ac:dyDescent="0.3">
      <c r="A12" s="60"/>
      <c r="B12" s="69">
        <v>230</v>
      </c>
      <c r="C12" s="70" t="s">
        <v>55</v>
      </c>
      <c r="D12" s="70"/>
      <c r="E12" s="70"/>
      <c r="F12" s="71">
        <f>(INDEX(Facilities!$R$64:$V$66,MATCH(F$11,Facilities!$C$64:$C$66,0),MATCH(F$10,Facilities!$R$8:$V$8,0))+INDEX(Building!Option1_costs,MATCH(F$11,Building!Option1_categories,0),MATCH(F$10,Building!years,0))*Conv_2021+INDEX(Depot!$H$75:$L$78,MATCH(F$11,Depot!$C$75:$C$78,0),MATCH(F$10,Depot!$H$8:$L$8,0)))/1000</f>
        <v>890.47048022737783</v>
      </c>
      <c r="G12" s="71">
        <f>(INDEX(Facilities!$R$64:$V$66,MATCH(G$11,Facilities!$C$64:$C$66,0),MATCH(G$10,Facilities!$R$8:$V$8,0))+INDEX(Building!Option1_costs,MATCH(G$11,Building!Option1_categories,0),MATCH(G$10,Building!years,0))*Conv_2021+INDEX(Depot!$H$75:$L$78,MATCH(G$11,Depot!$C$75:$C$78,0),MATCH(G$10,Depot!$H$8:$L$8,0)))/1000</f>
        <v>3259.8511409589582</v>
      </c>
      <c r="H12" s="71">
        <f>(INDEX(Facilities!$R$64:$V$66,MATCH(H$11,Facilities!$C$64:$C$66,0),MATCH(H$10,Facilities!$R$8:$V$8,0))+INDEX(Building!Option1_costs,MATCH(H$11,Building!Option1_categories,0),MATCH(H$10,Building!years,0))*Conv_2021+INDEX(Depot!$H$75:$L$78,MATCH(H$11,Depot!$C$75:$C$78,0),MATCH(H$10,Depot!$H$8:$L$8,0)))/1000</f>
        <v>609.7395847361953</v>
      </c>
      <c r="I12" s="71">
        <f>(INDEX(Facilities!$R$64:$V$66,MATCH(I$11,Facilities!$C$64:$C$66,0),MATCH(I$10,Facilities!$R$8:$V$8,0))+INDEX(Building!Option1_costs,MATCH(I$11,Building!Option1_categories,0),MATCH(I$10,Building!years,0))*Conv_2021+INDEX(Depot!$H$75:$L$78,MATCH(I$11,Depot!$C$75:$C$78,0),MATCH(I$10,Depot!$H$8:$L$8,0)))/1000</f>
        <v>820.57362829781755</v>
      </c>
      <c r="J12" s="71">
        <f>(INDEX(Facilities!$R$64:$V$66,MATCH(J$11,Facilities!$C$64:$C$66,0),MATCH(J$10,Facilities!$R$8:$V$8,0))+INDEX(Building!Option1_costs,MATCH(J$11,Building!Option1_categories,0),MATCH(J$10,Building!years,0))*Conv_2021+INDEX(Depot!$H$75:$L$78,MATCH(J$11,Depot!$C$75:$C$78,0),MATCH(J$10,Depot!$H$8:$L$8,0)))/1000</f>
        <v>2494.1628993669565</v>
      </c>
      <c r="K12" s="71">
        <f>(INDEX(Facilities!$R$64:$V$66,MATCH(K$11,Facilities!$C$64:$C$66,0),MATCH(K$10,Facilities!$R$8:$V$8,0))+INDEX(Building!Option1_costs,MATCH(K$11,Building!Option1_categories,0),MATCH(K$10,Building!years,0))*Conv_2021+INDEX(Depot!$H$75:$L$78,MATCH(K$11,Depot!$C$75:$C$78,0),MATCH(K$10,Depot!$H$8:$L$8,0)))/1000</f>
        <v>571.61402913825327</v>
      </c>
      <c r="L12" s="71">
        <f>(INDEX(Facilities!$R$64:$V$66,MATCH(L$11,Facilities!$C$64:$C$66,0),MATCH(L$10,Facilities!$R$8:$V$8,0))+INDEX(Building!Option1_costs,MATCH(L$11,Building!Option1_categories,0),MATCH(L$10,Building!years,0))*Conv_2021+INDEX(Depot!$H$75:$L$78,MATCH(L$11,Depot!$C$75:$C$78,0),MATCH(L$10,Depot!$H$8:$L$8,0)))/1000</f>
        <v>831.30485658570365</v>
      </c>
      <c r="M12" s="71">
        <f>(INDEX(Facilities!$R$64:$V$66,MATCH(M$11,Facilities!$C$64:$C$66,0),MATCH(M$10,Facilities!$R$8:$V$8,0))+INDEX(Building!Option1_costs,MATCH(M$11,Building!Option1_categories,0),MATCH(M$10,Building!years,0))*Conv_2021+INDEX(Depot!$H$75:$L$78,MATCH(M$11,Depot!$C$75:$C$78,0),MATCH(M$10,Depot!$H$8:$L$8,0)))/1000</f>
        <v>1573.3747887667432</v>
      </c>
      <c r="N12" s="71">
        <f>(INDEX(Facilities!$R$64:$V$66,MATCH(N$11,Facilities!$C$64:$C$66,0),MATCH(N$10,Facilities!$R$8:$V$8,0))+INDEX(Building!Option1_costs,MATCH(N$11,Building!Option1_categories,0),MATCH(N$10,Building!years,0))*Conv_2021+INDEX(Depot!$H$75:$L$78,MATCH(N$11,Depot!$C$75:$C$78,0),MATCH(N$10,Depot!$H$8:$L$8,0)))/1000</f>
        <v>419.20157502344421</v>
      </c>
      <c r="O12" s="71">
        <f>(INDEX(Facilities!$R$64:$V$66,MATCH(O$11,Facilities!$C$64:$C$66,0),MATCH(O$10,Facilities!$R$8:$V$8,0))+INDEX(Building!Option1_costs,MATCH(O$11,Building!Option1_categories,0),MATCH(O$10,Building!years,0))*Conv_2021+INDEX(Depot!$H$75:$L$78,MATCH(O$11,Depot!$C$75:$C$78,0),MATCH(O$10,Depot!$H$8:$L$8,0)))/1000</f>
        <v>670.47108468285069</v>
      </c>
      <c r="P12" s="71">
        <f>(INDEX(Facilities!$R$64:$V$66,MATCH(P$11,Facilities!$C$64:$C$66,0),MATCH(P$10,Facilities!$R$8:$V$8,0))+INDEX(Building!Option1_costs,MATCH(P$11,Building!Option1_categories,0),MATCH(P$10,Building!years,0))*Conv_2021+INDEX(Depot!$H$75:$L$78,MATCH(P$11,Depot!$C$75:$C$78,0),MATCH(P$10,Depot!$H$8:$L$8,0)))/1000</f>
        <v>1091.0305675428626</v>
      </c>
      <c r="Q12" s="71">
        <f>(INDEX(Facilities!$R$64:$V$66,MATCH(Q$11,Facilities!$C$64:$C$66,0),MATCH(Q$10,Facilities!$R$8:$V$8,0))+INDEX(Building!Option1_costs,MATCH(Q$11,Building!Option1_categories,0),MATCH(Q$10,Building!years,0))*Conv_2021+INDEX(Depot!$H$75:$L$78,MATCH(Q$11,Depot!$C$75:$C$78,0),MATCH(Q$10,Depot!$H$8:$L$8,0)))/1000</f>
        <v>190.53800971275112</v>
      </c>
      <c r="R12" s="71">
        <f>(INDEX(Facilities!$R$64:$V$66,MATCH(R$11,Facilities!$C$64:$C$66,0),MATCH(R$10,Facilities!$R$8:$V$8,0))+INDEX(Building!Option1_costs,MATCH(R$11,Building!Option1_categories,0),MATCH(R$10,Building!years,0))*Conv_2021+INDEX(Depot!$H$75:$L$78,MATCH(R$11,Depot!$C$75:$C$78,0),MATCH(R$10,Depot!$H$8:$L$8,0)))/1000</f>
        <v>670.47108468285069</v>
      </c>
      <c r="S12" s="71">
        <f>(INDEX(Facilities!$R$64:$V$66,MATCH(S$11,Facilities!$C$64:$C$66,0),MATCH(S$10,Facilities!$R$8:$V$8,0))+INDEX(Building!Option1_costs,MATCH(S$11,Building!Option1_categories,0),MATCH(S$10,Building!years,0))*Conv_2021+INDEX(Depot!$H$75:$L$78,MATCH(S$11,Depot!$C$75:$C$78,0),MATCH(S$10,Depot!$H$8:$L$8,0)))/1000</f>
        <v>1091.0305675428626</v>
      </c>
      <c r="T12" s="71">
        <f>(INDEX(Facilities!$R$64:$V$66,MATCH(T$11,Facilities!$C$64:$C$66,0),MATCH(T$10,Facilities!$R$8:$V$8,0))+INDEX(Building!Option1_costs,MATCH(T$11,Building!Option1_categories,0),MATCH(T$10,Building!years,0))*Conv_2021+INDEX(Depot!$H$75:$L$78,MATCH(T$11,Depot!$C$75:$C$78,0),MATCH(T$10,Depot!$H$8:$L$8,0)))/1000</f>
        <v>190.53800971275112</v>
      </c>
      <c r="U12" s="60"/>
      <c r="V12" s="71">
        <f t="shared" ref="V12:Z18" si="0">SUMIF($F$10:$T$10,V$10,$F12:$T12)</f>
        <v>4760.0612059225314</v>
      </c>
      <c r="W12" s="71">
        <f t="shared" si="0"/>
        <v>3886.3505568030278</v>
      </c>
      <c r="X12" s="71">
        <f t="shared" si="0"/>
        <v>2823.8812203758907</v>
      </c>
      <c r="Y12" s="71">
        <f t="shared" si="0"/>
        <v>1952.0396619384644</v>
      </c>
      <c r="Z12" s="71">
        <f t="shared" si="0"/>
        <v>1952.0396619384644</v>
      </c>
      <c r="AA12" s="60"/>
      <c r="AB12" s="71">
        <f>SUM(V12:Z12)</f>
        <v>15374.372306978377</v>
      </c>
      <c r="AC12" s="71"/>
      <c r="AD12" s="151">
        <f>SUMIF($F$11:$T$11,AD$11,$F12:$T12)/$AB12</f>
        <v>0.25258209291015982</v>
      </c>
      <c r="AE12" s="151">
        <f t="shared" ref="AE12:AF15" si="1">SUMIF($F$11:$T$11,AE$11,$F12:$T12)/$AB12</f>
        <v>0.6185260623526122</v>
      </c>
      <c r="AF12" s="151">
        <f t="shared" si="1"/>
        <v>0.12889184473722798</v>
      </c>
      <c r="AG12" s="151"/>
      <c r="AH12" s="93">
        <f>SUM(AD12:AF12)-1</f>
        <v>0</v>
      </c>
      <c r="AI12" s="93">
        <f>AB12-(SUM(Facilities!R64:V66)+SUM(Building!M25:Q25)+SUM(Depot!H75:L77))/1000</f>
        <v>0</v>
      </c>
      <c r="AJ12" s="43"/>
      <c r="AK12" s="43"/>
      <c r="AL12" s="43"/>
    </row>
    <row r="13" spans="1:38" s="2" customFormat="1" ht="12.75" customHeight="1" x14ac:dyDescent="0.3">
      <c r="A13" s="60"/>
      <c r="B13" s="69">
        <v>230</v>
      </c>
      <c r="C13" s="70" t="s">
        <v>69</v>
      </c>
      <c r="D13" s="70"/>
      <c r="E13" s="70"/>
      <c r="F13" s="71"/>
      <c r="G13" s="71">
        <f>Depot!$H$78/1000</f>
        <v>0</v>
      </c>
      <c r="H13" s="71"/>
      <c r="I13" s="71"/>
      <c r="J13" s="71">
        <f>Depot!$I$78/1000</f>
        <v>0</v>
      </c>
      <c r="K13" s="71"/>
      <c r="L13" s="71"/>
      <c r="M13" s="71">
        <f>Depot!$J$78/1000</f>
        <v>0</v>
      </c>
      <c r="N13" s="71"/>
      <c r="O13" s="71"/>
      <c r="P13" s="71">
        <f>Depot!$K$78/1000</f>
        <v>0</v>
      </c>
      <c r="Q13" s="71"/>
      <c r="R13" s="71"/>
      <c r="S13" s="71">
        <f>Depot!$L$78/1000</f>
        <v>0</v>
      </c>
      <c r="T13" s="71"/>
      <c r="U13" s="60"/>
      <c r="V13" s="71">
        <f t="shared" si="0"/>
        <v>0</v>
      </c>
      <c r="W13" s="71">
        <f t="shared" si="0"/>
        <v>0</v>
      </c>
      <c r="X13" s="71">
        <f t="shared" si="0"/>
        <v>0</v>
      </c>
      <c r="Y13" s="71">
        <f t="shared" si="0"/>
        <v>0</v>
      </c>
      <c r="Z13" s="71">
        <f t="shared" si="0"/>
        <v>0</v>
      </c>
      <c r="AA13" s="60"/>
      <c r="AB13" s="71">
        <f>SUM(V13:Z13)</f>
        <v>0</v>
      </c>
      <c r="AC13" s="71"/>
      <c r="AD13" s="151"/>
      <c r="AE13" s="151"/>
      <c r="AF13" s="151"/>
      <c r="AG13" s="151"/>
      <c r="AH13" s="93"/>
      <c r="AI13" s="93">
        <f>AB13-SUM(Depot!H78:L78)/1000</f>
        <v>0</v>
      </c>
      <c r="AJ13" s="43"/>
      <c r="AK13" s="43"/>
      <c r="AL13" s="43"/>
    </row>
    <row r="14" spans="1:38" x14ac:dyDescent="0.3">
      <c r="B14" s="69">
        <v>240</v>
      </c>
      <c r="C14" s="70" t="s">
        <v>46</v>
      </c>
      <c r="F14" s="71">
        <f>INDEX(Option1_costs,MATCH(Output!F$11,Option1_categories,0),MATCH(Output!F$10,Facilities!$R$8:$V$8,0))*Conv_2021/1000</f>
        <v>0</v>
      </c>
      <c r="G14" s="71">
        <f>INDEX(Option1_costs,MATCH(Output!G$11,Option1_categories,0),MATCH(Output!G$10,Facilities!$R$8:$V$8,0))*Conv_2021/1000</f>
        <v>996.7979462793495</v>
      </c>
      <c r="H14" s="71">
        <f>INDEX(Option1_costs,MATCH(Output!H$11,Option1_categories,0),MATCH(Output!H$10,Facilities!$R$8:$V$8,0))*Conv_2021/1000</f>
        <v>249.19948656983738</v>
      </c>
      <c r="I14" s="71">
        <f>INDEX(Option1_costs,MATCH(Output!I$11,Option1_categories,0),MATCH(Output!I$10,Facilities!$R$8:$V$8,0))*Conv_2021/1000</f>
        <v>0</v>
      </c>
      <c r="J14" s="71">
        <f>INDEX(Option1_costs,MATCH(Output!J$11,Option1_categories,0),MATCH(Output!J$10,Facilities!$R$8:$V$8,0))*Conv_2021/1000</f>
        <v>996.7979462793495</v>
      </c>
      <c r="K14" s="71">
        <f>INDEX(Option1_costs,MATCH(Output!K$11,Option1_categories,0),MATCH(Output!K$10,Facilities!$R$8:$V$8,0))*Conv_2021/1000</f>
        <v>249.19948656983738</v>
      </c>
      <c r="L14" s="71">
        <f>INDEX(Option1_costs,MATCH(Output!L$11,Option1_categories,0),MATCH(Output!L$10,Facilities!$R$8:$V$8,0))*Conv_2021/1000</f>
        <v>0</v>
      </c>
      <c r="M14" s="71">
        <f>INDEX(Option1_costs,MATCH(Output!M$11,Option1_categories,0),MATCH(Output!M$10,Facilities!$R$8:$V$8,0))*Conv_2021/1000</f>
        <v>664.53196418623315</v>
      </c>
      <c r="N14" s="71">
        <f>INDEX(Option1_costs,MATCH(Output!N$11,Option1_categories,0),MATCH(Output!N$10,Facilities!$R$8:$V$8,0))*Conv_2021/1000</f>
        <v>166.13299104655829</v>
      </c>
      <c r="O14" s="71">
        <f>INDEX(Option1_costs,MATCH(Output!O$11,Option1_categories,0),MATCH(Output!O$10,Facilities!$R$8:$V$8,0))*Conv_2021/1000</f>
        <v>0</v>
      </c>
      <c r="P14" s="71">
        <f>INDEX(Option1_costs,MATCH(Output!P$11,Option1_categories,0),MATCH(Output!P$10,Facilities!$R$8:$V$8,0))*Conv_2021/1000</f>
        <v>332.26598209311658</v>
      </c>
      <c r="Q14" s="71">
        <f>INDEX(Option1_costs,MATCH(Output!Q$11,Option1_categories,0),MATCH(Output!Q$10,Facilities!$R$8:$V$8,0))*Conv_2021/1000</f>
        <v>83.066495523279144</v>
      </c>
      <c r="R14" s="71">
        <f>INDEX(Option1_costs,MATCH(Output!R$11,Option1_categories,0),MATCH(Output!R$10,Facilities!$R$8:$V$8,0))*Conv_2021/1000</f>
        <v>0</v>
      </c>
      <c r="S14" s="71">
        <f>INDEX(Option1_costs,MATCH(Output!S$11,Option1_categories,0),MATCH(Output!S$10,Facilities!$R$8:$V$8,0))*Conv_2021/1000</f>
        <v>332.26598209311658</v>
      </c>
      <c r="T14" s="71">
        <f>INDEX(Option1_costs,MATCH(Output!T$11,Option1_categories,0),MATCH(Output!T$10,Facilities!$R$8:$V$8,0))*Conv_2021/1000</f>
        <v>83.066495523279144</v>
      </c>
      <c r="V14" s="71">
        <f t="shared" si="0"/>
        <v>1245.9974328491869</v>
      </c>
      <c r="W14" s="71">
        <f t="shared" si="0"/>
        <v>1245.9974328491869</v>
      </c>
      <c r="X14" s="71">
        <f t="shared" si="0"/>
        <v>830.6649552327915</v>
      </c>
      <c r="Y14" s="71">
        <f t="shared" si="0"/>
        <v>415.33247761639575</v>
      </c>
      <c r="Z14" s="71">
        <f t="shared" si="0"/>
        <v>415.33247761639575</v>
      </c>
      <c r="AA14" s="60"/>
      <c r="AB14" s="71">
        <f>SUM(V14:Z14)</f>
        <v>4153.3247761639568</v>
      </c>
      <c r="AC14" s="71"/>
      <c r="AD14" s="151">
        <f t="shared" ref="AD14:AD15" si="2">SUMIF($F$11:$T$11,AD$11,$F14:$T14)/$AB14</f>
        <v>0</v>
      </c>
      <c r="AE14" s="151">
        <f t="shared" si="1"/>
        <v>0.8</v>
      </c>
      <c r="AF14" s="151">
        <f t="shared" si="1"/>
        <v>0.2</v>
      </c>
      <c r="AG14" s="151"/>
      <c r="AH14" s="93">
        <f t="shared" ref="AH14:AH15" si="3">SUM(AD14:AF14)-1</f>
        <v>0</v>
      </c>
      <c r="AI14" s="93">
        <f>AB14-SUM(Fleet!S25:W25)/1000</f>
        <v>0</v>
      </c>
    </row>
    <row r="15" spans="1:38" x14ac:dyDescent="0.3">
      <c r="B15" s="69" t="s">
        <v>95</v>
      </c>
      <c r="C15" s="70" t="s">
        <v>73</v>
      </c>
      <c r="F15" s="71">
        <f>INDEX(Tools_Equip!Option1_costs,MATCH(Output!F$11,Tools_Equip!Option1_categories,0),MATCH(Output!F$10,Tools_Equip!years,0))*Conv_2021/1000</f>
        <v>0</v>
      </c>
      <c r="G15" s="71">
        <f>INDEX(Tools_Equip!Option1_costs,MATCH(Output!G$11,Tools_Equip!Option1_categories,0),MATCH(Output!G$10,Tools_Equip!years,0))*Conv_2021/1000</f>
        <v>193.71243980617453</v>
      </c>
      <c r="H15" s="71">
        <f>INDEX(Tools_Equip!Option1_costs,MATCH(Output!H$11,Tools_Equip!Option1_categories,0),MATCH(Output!H$10,Tools_Equip!years,0))*Conv_2021/1000</f>
        <v>48.428109951543632</v>
      </c>
      <c r="I15" s="71">
        <f>INDEX(Tools_Equip!Option1_costs,MATCH(Output!I$11,Tools_Equip!Option1_categories,0),MATCH(Output!I$10,Tools_Equip!years,0))*Conv_2021/1000</f>
        <v>0</v>
      </c>
      <c r="J15" s="71">
        <f>INDEX(Tools_Equip!Option1_costs,MATCH(Output!J$11,Tools_Equip!Option1_categories,0),MATCH(Output!J$10,Tools_Equip!years,0))*Conv_2021/1000</f>
        <v>193.71243980617453</v>
      </c>
      <c r="K15" s="71">
        <f>INDEX(Tools_Equip!Option1_costs,MATCH(Output!K$11,Tools_Equip!Option1_categories,0),MATCH(Output!K$10,Tools_Equip!years,0))*Conv_2021/1000</f>
        <v>48.428109951543632</v>
      </c>
      <c r="L15" s="71">
        <f>INDEX(Tools_Equip!Option1_costs,MATCH(Output!L$11,Tools_Equip!Option1_categories,0),MATCH(Output!L$10,Tools_Equip!years,0))*Conv_2021/1000</f>
        <v>0</v>
      </c>
      <c r="M15" s="71">
        <f>INDEX(Tools_Equip!Option1_costs,MATCH(Output!M$11,Tools_Equip!Option1_categories,0),MATCH(Output!M$10,Tools_Equip!years,0))*Conv_2021/1000</f>
        <v>193.71243980617453</v>
      </c>
      <c r="N15" s="71">
        <f>INDEX(Tools_Equip!Option1_costs,MATCH(Output!N$11,Tools_Equip!Option1_categories,0),MATCH(Output!N$10,Tools_Equip!years,0))*Conv_2021/1000</f>
        <v>48.428109951543632</v>
      </c>
      <c r="O15" s="71">
        <f>INDEX(Tools_Equip!Option1_costs,MATCH(Output!O$11,Tools_Equip!Option1_categories,0),MATCH(Output!O$10,Tools_Equip!years,0))*Conv_2021/1000</f>
        <v>0</v>
      </c>
      <c r="P15" s="71">
        <f>INDEX(Tools_Equip!Option1_costs,MATCH(Output!P$11,Tools_Equip!Option1_categories,0),MATCH(Output!P$10,Tools_Equip!years,0))*Conv_2021/1000</f>
        <v>193.71243980617453</v>
      </c>
      <c r="Q15" s="71">
        <f>INDEX(Tools_Equip!Option1_costs,MATCH(Output!Q$11,Tools_Equip!Option1_categories,0),MATCH(Output!Q$10,Tools_Equip!years,0))*Conv_2021/1000</f>
        <v>48.428109951543632</v>
      </c>
      <c r="R15" s="71">
        <f>INDEX(Tools_Equip!Option1_costs,MATCH(Output!R$11,Tools_Equip!Option1_categories,0),MATCH(Output!R$10,Tools_Equip!years,0))*Conv_2021/1000</f>
        <v>0</v>
      </c>
      <c r="S15" s="71">
        <f>INDEX(Tools_Equip!Option1_costs,MATCH(Output!S$11,Tools_Equip!Option1_categories,0),MATCH(Output!S$10,Tools_Equip!years,0))*Conv_2021/1000</f>
        <v>193.71243980617453</v>
      </c>
      <c r="T15" s="71">
        <f>INDEX(Tools_Equip!Option1_costs,MATCH(Output!T$11,Tools_Equip!Option1_categories,0),MATCH(Output!T$10,Tools_Equip!years,0))*Conv_2021/1000</f>
        <v>48.428109951543632</v>
      </c>
      <c r="V15" s="71">
        <f t="shared" si="0"/>
        <v>242.14054975771816</v>
      </c>
      <c r="W15" s="71">
        <f t="shared" si="0"/>
        <v>242.14054975771816</v>
      </c>
      <c r="X15" s="71">
        <f t="shared" si="0"/>
        <v>242.14054975771816</v>
      </c>
      <c r="Y15" s="71">
        <f t="shared" si="0"/>
        <v>242.14054975771816</v>
      </c>
      <c r="Z15" s="71">
        <f t="shared" si="0"/>
        <v>242.14054975771816</v>
      </c>
      <c r="AA15" s="60"/>
      <c r="AB15" s="71">
        <f>SUM(V15:Z15)</f>
        <v>1210.7027487885907</v>
      </c>
      <c r="AC15" s="71"/>
      <c r="AD15" s="151">
        <f t="shared" si="2"/>
        <v>0</v>
      </c>
      <c r="AE15" s="151">
        <f t="shared" si="1"/>
        <v>0.8</v>
      </c>
      <c r="AF15" s="151">
        <f t="shared" si="1"/>
        <v>0.2</v>
      </c>
      <c r="AG15" s="151"/>
      <c r="AH15" s="93">
        <f t="shared" si="3"/>
        <v>0</v>
      </c>
      <c r="AI15" s="93">
        <f>AB15-SUM(Tools_Equip!S25:W25)/1000</f>
        <v>0</v>
      </c>
    </row>
    <row r="16" spans="1:38" x14ac:dyDescent="0.3">
      <c r="B16" s="69"/>
      <c r="C16" s="70" t="s">
        <v>101</v>
      </c>
      <c r="F16" s="71">
        <f>INDEX(Disposal!$H$23:$L$25,MATCH(Output!F$11,Disposal!$C$23:$C$25,0),MATCH(Output!F$10,Disposal!$H$8:$L$8,0))*Conv_2021/1000</f>
        <v>0</v>
      </c>
      <c r="G16" s="71">
        <f>INDEX(Disposal!$H$23:$L$25,MATCH(Output!G$11,Disposal!$C$23:$C$25,0),MATCH(Output!G$10,Disposal!$H$8:$L$8,0))*Conv_2021/1000</f>
        <v>0</v>
      </c>
      <c r="H16" s="71">
        <f>INDEX(Disposal!$H$23:$L$25,MATCH(Output!H$11,Disposal!$C$23:$C$25,0),MATCH(Output!H$10,Disposal!$H$8:$L$8,0))*Conv_2021/1000</f>
        <v>0</v>
      </c>
      <c r="I16" s="71">
        <f>INDEX(Disposal!$H$23:$L$25,MATCH(Output!I$11,Disposal!$C$23:$C$25,0),MATCH(Output!I$10,Disposal!$H$8:$L$8,0))*Conv_2021/1000</f>
        <v>0</v>
      </c>
      <c r="J16" s="71">
        <f>INDEX(Disposal!$H$23:$L$25,MATCH(Output!J$11,Disposal!$C$23:$C$25,0),MATCH(Output!J$10,Disposal!$H$8:$L$8,0))*Conv_2021/1000</f>
        <v>0</v>
      </c>
      <c r="K16" s="71">
        <f>INDEX(Disposal!$H$23:$L$25,MATCH(Output!K$11,Disposal!$C$23:$C$25,0),MATCH(Output!K$10,Disposal!$H$8:$L$8,0))*Conv_2021/1000</f>
        <v>0</v>
      </c>
      <c r="L16" s="71">
        <f>INDEX(Disposal!$H$23:$L$25,MATCH(Output!L$11,Disposal!$C$23:$C$25,0),MATCH(Output!L$10,Disposal!$H$8:$L$8,0))*Conv_2021/1000</f>
        <v>0</v>
      </c>
      <c r="M16" s="71">
        <f>INDEX(Disposal!$H$23:$L$25,MATCH(Output!M$11,Disposal!$C$23:$C$25,0),MATCH(Output!M$10,Disposal!$H$8:$L$8,0))*Conv_2021/1000</f>
        <v>0</v>
      </c>
      <c r="N16" s="71">
        <f>INDEX(Disposal!$H$23:$L$25,MATCH(Output!N$11,Disposal!$C$23:$C$25,0),MATCH(Output!N$10,Disposal!$H$8:$L$8,0))*Conv_2021/1000</f>
        <v>0</v>
      </c>
      <c r="O16" s="71">
        <f>INDEX(Disposal!$H$23:$L$25,MATCH(Output!O$11,Disposal!$C$23:$C$25,0),MATCH(Output!O$10,Disposal!$H$8:$L$8,0))*Conv_2021/1000</f>
        <v>0</v>
      </c>
      <c r="P16" s="71">
        <f>INDEX(Disposal!$H$23:$L$25,MATCH(Output!P$11,Disposal!$C$23:$C$25,0),MATCH(Output!P$10,Disposal!$H$8:$L$8,0))*Conv_2021/1000</f>
        <v>0</v>
      </c>
      <c r="Q16" s="71">
        <f>INDEX(Disposal!$H$23:$L$25,MATCH(Output!Q$11,Disposal!$C$23:$C$25,0),MATCH(Output!Q$10,Disposal!$H$8:$L$8,0))*Conv_2021/1000</f>
        <v>0</v>
      </c>
      <c r="R16" s="71">
        <f>INDEX(Disposal!$H$23:$L$25,MATCH(Output!R$11,Disposal!$C$23:$C$25,0),MATCH(Output!R$10,Disposal!$H$8:$L$8,0))*Conv_2021/1000</f>
        <v>0</v>
      </c>
      <c r="S16" s="71">
        <f>INDEX(Disposal!$H$23:$L$25,MATCH(Output!S$11,Disposal!$C$23:$C$25,0),MATCH(Output!S$10,Disposal!$H$8:$L$8,0))*Conv_2021/1000</f>
        <v>0</v>
      </c>
      <c r="T16" s="71">
        <f>INDEX(Disposal!$H$23:$L$25,MATCH(Output!T$11,Disposal!$C$23:$C$25,0),MATCH(Output!T$10,Disposal!$H$8:$L$8,0))*Conv_2021/1000</f>
        <v>0</v>
      </c>
      <c r="V16" s="71">
        <f t="shared" si="0"/>
        <v>0</v>
      </c>
      <c r="W16" s="71">
        <f t="shared" si="0"/>
        <v>0</v>
      </c>
      <c r="X16" s="71">
        <f t="shared" si="0"/>
        <v>0</v>
      </c>
      <c r="Y16" s="71">
        <f t="shared" si="0"/>
        <v>0</v>
      </c>
      <c r="Z16" s="71">
        <f t="shared" si="0"/>
        <v>0</v>
      </c>
      <c r="AA16" s="60"/>
      <c r="AB16" s="71">
        <f>SUM(V16:Z16)</f>
        <v>0</v>
      </c>
      <c r="AC16" s="71"/>
      <c r="AD16" s="151"/>
      <c r="AE16" s="151"/>
      <c r="AF16" s="151"/>
      <c r="AG16" s="151"/>
      <c r="AH16" s="93"/>
      <c r="AI16" s="93">
        <f>AB16-SUM(Disposal!H27:L27)/1000</f>
        <v>0</v>
      </c>
    </row>
    <row r="18" spans="2:34" x14ac:dyDescent="0.3">
      <c r="B18" s="70" t="s">
        <v>21</v>
      </c>
      <c r="C18" s="70" t="s">
        <v>106</v>
      </c>
      <c r="E18" s="70"/>
      <c r="F18" s="71">
        <f>SUM(F12:F15)</f>
        <v>890.47048022737783</v>
      </c>
      <c r="G18" s="71">
        <f t="shared" ref="G18:T18" si="4">SUM(G12:G15)</f>
        <v>4450.3615270444816</v>
      </c>
      <c r="H18" s="71">
        <f t="shared" si="4"/>
        <v>907.36718125757636</v>
      </c>
      <c r="I18" s="71">
        <f t="shared" si="4"/>
        <v>820.57362829781755</v>
      </c>
      <c r="J18" s="71">
        <f t="shared" si="4"/>
        <v>3684.6732854524807</v>
      </c>
      <c r="K18" s="71">
        <f t="shared" si="4"/>
        <v>869.24162565963434</v>
      </c>
      <c r="L18" s="71">
        <f t="shared" si="4"/>
        <v>831.30485658570365</v>
      </c>
      <c r="M18" s="71">
        <f t="shared" si="4"/>
        <v>2431.6191927591512</v>
      </c>
      <c r="N18" s="71">
        <f t="shared" si="4"/>
        <v>633.7626760215461</v>
      </c>
      <c r="O18" s="71">
        <f t="shared" si="4"/>
        <v>670.47108468285069</v>
      </c>
      <c r="P18" s="71">
        <f t="shared" si="4"/>
        <v>1617.008989442154</v>
      </c>
      <c r="Q18" s="71">
        <f t="shared" si="4"/>
        <v>322.03261518757392</v>
      </c>
      <c r="R18" s="71">
        <f t="shared" si="4"/>
        <v>670.47108468285069</v>
      </c>
      <c r="S18" s="71">
        <f t="shared" si="4"/>
        <v>1617.008989442154</v>
      </c>
      <c r="T18" s="71">
        <f t="shared" si="4"/>
        <v>322.03261518757392</v>
      </c>
      <c r="V18" s="71">
        <f t="shared" si="0"/>
        <v>6248.1991885294365</v>
      </c>
      <c r="W18" s="71">
        <f t="shared" si="0"/>
        <v>5374.4885394099329</v>
      </c>
      <c r="X18" s="71">
        <f t="shared" si="0"/>
        <v>3896.6867253664013</v>
      </c>
      <c r="Y18" s="71">
        <f t="shared" si="0"/>
        <v>2609.5126893125785</v>
      </c>
      <c r="Z18" s="71">
        <f t="shared" si="0"/>
        <v>2609.5126893125785</v>
      </c>
      <c r="AA18" s="60"/>
      <c r="AB18" s="71">
        <f>SUM(V18:Z18)</f>
        <v>20738.399831930928</v>
      </c>
      <c r="AC18" s="71"/>
      <c r="AD18" s="71">
        <f>SUM(F18,I18,L18,O18,R18)</f>
        <v>3883.2911344766007</v>
      </c>
      <c r="AE18" s="71">
        <f t="shared" ref="AE18:AF18" si="5">SUM(G18,J18,M18,P18,S18)</f>
        <v>13800.671984140423</v>
      </c>
      <c r="AF18" s="71">
        <f t="shared" si="5"/>
        <v>3054.4367133139044</v>
      </c>
      <c r="AG18" s="71"/>
      <c r="AH18" s="71"/>
    </row>
    <row r="19" spans="2:34" x14ac:dyDescent="0.3">
      <c r="E19" s="70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1"/>
      <c r="R19" s="71"/>
      <c r="S19" s="71"/>
      <c r="T19" s="71"/>
      <c r="V19" s="71"/>
      <c r="W19" s="71"/>
      <c r="X19" s="71"/>
      <c r="Y19" s="71"/>
      <c r="Z19" s="71"/>
      <c r="AA19" s="60"/>
      <c r="AB19" s="71"/>
      <c r="AC19" s="71"/>
      <c r="AD19" s="152">
        <f>AD18/SUM($AD$18:$AF$18)</f>
        <v>0.18725124242698296</v>
      </c>
      <c r="AE19" s="152">
        <f t="shared" ref="AE19:AF19" si="6">AE18/SUM($AD$18:$AF$18)</f>
        <v>0.66546464992402732</v>
      </c>
      <c r="AF19" s="152">
        <f t="shared" si="6"/>
        <v>0.14728410764898969</v>
      </c>
      <c r="AG19" s="71"/>
      <c r="AH19" s="71"/>
    </row>
    <row r="20" spans="2:34" x14ac:dyDescent="0.3">
      <c r="E20" s="70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  <c r="Q20" s="71"/>
      <c r="R20" s="71"/>
      <c r="S20" s="71"/>
      <c r="T20" s="71"/>
      <c r="V20" s="71"/>
      <c r="W20" s="71"/>
      <c r="X20" s="71"/>
      <c r="Y20" s="71"/>
      <c r="Z20" s="71"/>
      <c r="AA20" s="60"/>
      <c r="AB20" s="71"/>
      <c r="AC20" s="71"/>
      <c r="AD20" s="71"/>
      <c r="AE20" s="71"/>
      <c r="AF20" s="71"/>
      <c r="AG20" s="71"/>
      <c r="AH20" s="71"/>
    </row>
    <row r="21" spans="2:34" x14ac:dyDescent="0.3"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  <c r="Q21" s="71"/>
      <c r="R21" s="71"/>
      <c r="S21" s="71"/>
      <c r="T21" s="71"/>
      <c r="V21" s="146"/>
      <c r="W21" s="146"/>
      <c r="X21" s="146"/>
      <c r="Y21" s="146"/>
      <c r="Z21" s="146"/>
      <c r="AA21" s="60"/>
      <c r="AB21" s="71"/>
      <c r="AC21" s="71"/>
      <c r="AD21" s="71"/>
      <c r="AE21" s="71"/>
      <c r="AF21" s="71"/>
      <c r="AG21" s="71"/>
      <c r="AH21" s="71"/>
    </row>
    <row r="22" spans="2:34" x14ac:dyDescent="0.3"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1"/>
      <c r="S22" s="71"/>
      <c r="T22" s="71"/>
      <c r="V22" s="71"/>
    </row>
    <row r="23" spans="2:34" x14ac:dyDescent="0.3">
      <c r="E23" s="70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</row>
    <row r="26" spans="2:34" x14ac:dyDescent="0.3">
      <c r="E26" s="147"/>
      <c r="F26" s="148"/>
      <c r="G26" s="148"/>
      <c r="T26" s="147"/>
      <c r="V26" s="148"/>
      <c r="W26" s="148"/>
      <c r="X26" s="148"/>
      <c r="Y26" s="148"/>
      <c r="Z26" s="148"/>
      <c r="AB26" s="148"/>
      <c r="AC26" s="148"/>
      <c r="AD26" s="148"/>
      <c r="AE26" s="148"/>
      <c r="AF26" s="148"/>
      <c r="AG26" s="148"/>
      <c r="AH26" s="148"/>
    </row>
    <row r="27" spans="2:34" x14ac:dyDescent="0.3">
      <c r="E27" s="147"/>
      <c r="F27" s="148"/>
      <c r="G27" s="148"/>
      <c r="T27" s="147"/>
      <c r="V27" s="148"/>
      <c r="W27" s="148"/>
      <c r="X27" s="148"/>
      <c r="Y27" s="148"/>
      <c r="Z27" s="148"/>
      <c r="AB27" s="148"/>
      <c r="AC27" s="148"/>
      <c r="AD27" s="148"/>
      <c r="AE27" s="148"/>
      <c r="AF27" s="148"/>
      <c r="AG27" s="148"/>
      <c r="AH27" s="148"/>
    </row>
    <row r="28" spans="2:34" x14ac:dyDescent="0.3">
      <c r="E28" s="147"/>
      <c r="F28" s="148"/>
      <c r="G28" s="148"/>
      <c r="T28" s="147"/>
      <c r="V28" s="148"/>
      <c r="W28" s="148"/>
      <c r="X28" s="148"/>
      <c r="Y28" s="148"/>
      <c r="Z28" s="148"/>
      <c r="AB28" s="148"/>
      <c r="AC28" s="148"/>
      <c r="AD28" s="148"/>
      <c r="AE28" s="148"/>
      <c r="AF28" s="148"/>
      <c r="AG28" s="148"/>
      <c r="AH28" s="148"/>
    </row>
    <row r="29" spans="2:34" x14ac:dyDescent="0.3">
      <c r="F29" s="149"/>
      <c r="G29" s="149"/>
      <c r="V29" s="149"/>
      <c r="W29" s="149"/>
      <c r="X29" s="149"/>
      <c r="Y29" s="149"/>
      <c r="Z29" s="149"/>
      <c r="AA29" s="149"/>
      <c r="AB29" s="148"/>
      <c r="AC29" s="148"/>
      <c r="AD29" s="148"/>
      <c r="AE29" s="148"/>
      <c r="AF29" s="148"/>
      <c r="AG29" s="148"/>
      <c r="AH29" s="148"/>
    </row>
  </sheetData>
  <mergeCells count="1">
    <mergeCell ref="AD10:AF10"/>
  </mergeCells>
  <conditionalFormatting sqref="D6">
    <cfRule type="expression" dxfId="32" priority="13">
      <formula>D6&lt;&gt;TRUE</formula>
    </cfRule>
  </conditionalFormatting>
  <conditionalFormatting sqref="AI15">
    <cfRule type="expression" dxfId="31" priority="12">
      <formula>ABS(AI15)&gt;0.001</formula>
    </cfRule>
  </conditionalFormatting>
  <conditionalFormatting sqref="AI14">
    <cfRule type="expression" dxfId="30" priority="11">
      <formula>ABS(AI14)&gt;0.001</formula>
    </cfRule>
  </conditionalFormatting>
  <conditionalFormatting sqref="AI13">
    <cfRule type="expression" dxfId="29" priority="10">
      <formula>ABS(AI13)&gt;0.001</formula>
    </cfRule>
  </conditionalFormatting>
  <conditionalFormatting sqref="AI12">
    <cfRule type="expression" dxfId="28" priority="9">
      <formula>ABS(AI12)&gt;0.001</formula>
    </cfRule>
  </conditionalFormatting>
  <conditionalFormatting sqref="AJ14">
    <cfRule type="expression" dxfId="27" priority="8">
      <formula>ABS(AJ14)&gt;0.001</formula>
    </cfRule>
  </conditionalFormatting>
  <conditionalFormatting sqref="AJ15">
    <cfRule type="expression" dxfId="26" priority="7">
      <formula>ABS(AJ15)&gt;0.001</formula>
    </cfRule>
  </conditionalFormatting>
  <conditionalFormatting sqref="AJ13">
    <cfRule type="expression" dxfId="25" priority="6">
      <formula>ABS(AJ13)&gt;0.001</formula>
    </cfRule>
  </conditionalFormatting>
  <conditionalFormatting sqref="AJ12">
    <cfRule type="expression" dxfId="24" priority="5">
      <formula>ABS(AJ12)&gt;0.001</formula>
    </cfRule>
  </conditionalFormatting>
  <conditionalFormatting sqref="AI16">
    <cfRule type="expression" dxfId="23" priority="4">
      <formula>ABS(AI16)&gt;0.001</formula>
    </cfRule>
  </conditionalFormatting>
  <conditionalFormatting sqref="AJ16">
    <cfRule type="expression" dxfId="22" priority="3">
      <formula>ABS(AJ16)&gt;0.001</formula>
    </cfRule>
  </conditionalFormatting>
  <conditionalFormatting sqref="AH13:AH16">
    <cfRule type="expression" dxfId="21" priority="1">
      <formula>ABS(AH13)&gt;0.001</formula>
    </cfRule>
  </conditionalFormatting>
  <conditionalFormatting sqref="AH12">
    <cfRule type="expression" dxfId="20" priority="2">
      <formula>ABS(AH12)&gt;0.001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R24"/>
  <sheetViews>
    <sheetView showGridLines="0" zoomScale="85" zoomScaleNormal="85" workbookViewId="0"/>
  </sheetViews>
  <sheetFormatPr defaultColWidth="9.140625" defaultRowHeight="12.75" x14ac:dyDescent="0.2"/>
  <cols>
    <col min="1" max="1" width="4.28515625" style="1" customWidth="1"/>
    <col min="2" max="2" width="10.7109375" style="1" customWidth="1"/>
    <col min="3" max="3" width="18.28515625" style="1" customWidth="1"/>
    <col min="4" max="4" width="13.85546875" style="91" customWidth="1"/>
    <col min="5" max="5" width="2.85546875" style="1" customWidth="1"/>
    <col min="6" max="10" width="12.42578125" style="1" customWidth="1"/>
    <col min="11" max="11" width="2.7109375" style="91" customWidth="1"/>
    <col min="12" max="13" width="12.42578125" style="91" customWidth="1"/>
    <col min="14" max="14" width="10.28515625" style="1" bestFit="1" customWidth="1"/>
    <col min="15" max="15" width="11.28515625" style="1" bestFit="1" customWidth="1"/>
    <col min="16" max="16384" width="9.140625" style="1"/>
  </cols>
  <sheetData>
    <row r="1" spans="1:1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  <c r="M1" s="20"/>
    </row>
    <row r="2" spans="1:18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  <c r="M2" s="20"/>
    </row>
    <row r="3" spans="1:18" s="22" customFormat="1" ht="15.75" x14ac:dyDescent="0.25">
      <c r="A3" s="35" t="s">
        <v>42</v>
      </c>
      <c r="B3" s="33"/>
      <c r="C3" s="34"/>
      <c r="D3" s="34"/>
      <c r="E3" s="34"/>
      <c r="F3" s="34"/>
      <c r="G3" s="34"/>
      <c r="H3" s="34"/>
      <c r="I3" s="34"/>
      <c r="J3" s="34"/>
      <c r="K3" s="34"/>
      <c r="L3" s="34"/>
      <c r="M3" s="20"/>
      <c r="N3" s="1"/>
    </row>
    <row r="4" spans="1:18" ht="12.75" customHeight="1" x14ac:dyDescent="0.25">
      <c r="E4" s="3"/>
      <c r="M4" s="20"/>
      <c r="R4"/>
    </row>
    <row r="5" spans="1:18" s="2" customFormat="1" ht="12.75" customHeight="1" x14ac:dyDescent="0.25">
      <c r="B5" s="19"/>
      <c r="C5" s="19"/>
      <c r="D5" s="19"/>
      <c r="E5" s="20"/>
      <c r="F5" s="20"/>
      <c r="G5" s="20"/>
      <c r="H5" s="20"/>
      <c r="I5" s="20"/>
      <c r="J5" s="20"/>
      <c r="K5" s="20"/>
      <c r="L5" s="20"/>
      <c r="M5" s="20"/>
    </row>
    <row r="6" spans="1:18" ht="12.75" customHeight="1" x14ac:dyDescent="0.25">
      <c r="B6" s="19"/>
      <c r="C6" s="19"/>
      <c r="D6" s="19"/>
      <c r="E6" s="3"/>
      <c r="R6"/>
    </row>
    <row r="7" spans="1:18" ht="12.75" customHeight="1" x14ac:dyDescent="0.25">
      <c r="B7" s="109" t="s">
        <v>34</v>
      </c>
      <c r="D7" s="108" t="b">
        <f>Output!D6</f>
        <v>1</v>
      </c>
      <c r="E7" s="3"/>
      <c r="R7"/>
    </row>
    <row r="8" spans="1:18" ht="12.75" customHeight="1" x14ac:dyDescent="0.25">
      <c r="E8" s="3"/>
      <c r="R8"/>
    </row>
    <row r="9" spans="1:18" ht="12.75" customHeight="1" x14ac:dyDescent="0.25">
      <c r="E9" s="3"/>
      <c r="R9"/>
    </row>
    <row r="12" spans="1:18" x14ac:dyDescent="0.2">
      <c r="B12" s="73"/>
      <c r="C12" s="73" t="s">
        <v>76</v>
      </c>
      <c r="D12" s="73"/>
      <c r="E12" s="74"/>
      <c r="F12" s="75" t="s">
        <v>15</v>
      </c>
      <c r="G12" s="75" t="s">
        <v>16</v>
      </c>
      <c r="H12" s="75" t="s">
        <v>17</v>
      </c>
      <c r="I12" s="75" t="s">
        <v>18</v>
      </c>
      <c r="J12" s="75" t="s">
        <v>19</v>
      </c>
      <c r="L12" s="75" t="s">
        <v>21</v>
      </c>
    </row>
    <row r="13" spans="1:18" x14ac:dyDescent="0.2">
      <c r="B13" s="91"/>
      <c r="C13" s="91"/>
      <c r="D13" s="137"/>
      <c r="E13" s="3"/>
      <c r="F13" s="9"/>
      <c r="G13" s="9"/>
      <c r="H13" s="9"/>
      <c r="I13" s="9"/>
      <c r="J13" s="9"/>
      <c r="L13" s="9"/>
    </row>
    <row r="14" spans="1:18" s="91" customFormat="1" x14ac:dyDescent="0.2">
      <c r="C14" s="91" t="s">
        <v>46</v>
      </c>
      <c r="D14" s="111"/>
      <c r="E14" s="3"/>
      <c r="F14" s="9">
        <f>Fleet!S25</f>
        <v>1245997.4328491869</v>
      </c>
      <c r="G14" s="9">
        <f>Fleet!T25</f>
        <v>1245997.4328491869</v>
      </c>
      <c r="H14" s="9">
        <f>Fleet!U25</f>
        <v>830664.95523279137</v>
      </c>
      <c r="I14" s="9">
        <f>Fleet!V25</f>
        <v>415332.47761639568</v>
      </c>
      <c r="J14" s="9">
        <f>Fleet!W25</f>
        <v>415332.47761639568</v>
      </c>
      <c r="L14" s="9">
        <f t="shared" ref="L14:L21" si="0">SUM(F14:J14)</f>
        <v>4153324.7761639571</v>
      </c>
      <c r="N14" s="144" t="b">
        <f>SUM(F14:J14)/1000=Output!AB14</f>
        <v>1</v>
      </c>
    </row>
    <row r="15" spans="1:18" s="91" customFormat="1" ht="13.5" thickBot="1" x14ac:dyDescent="0.25">
      <c r="C15" s="91" t="s">
        <v>96</v>
      </c>
      <c r="D15" s="111"/>
      <c r="E15" s="3"/>
      <c r="F15" s="9">
        <f>Tools_Equip!S25</f>
        <v>242140.54975771814</v>
      </c>
      <c r="G15" s="9">
        <f>Tools_Equip!T25</f>
        <v>242140.54975771814</v>
      </c>
      <c r="H15" s="9">
        <f>Tools_Equip!U25</f>
        <v>242140.54975771814</v>
      </c>
      <c r="I15" s="9">
        <f>Tools_Equip!V25</f>
        <v>242140.54975771814</v>
      </c>
      <c r="J15" s="9">
        <f>Tools_Equip!W25</f>
        <v>242140.54975771814</v>
      </c>
      <c r="L15" s="9">
        <f t="shared" si="0"/>
        <v>1210702.7487885908</v>
      </c>
      <c r="N15" s="144" t="b">
        <f>SUM(F15:J15)/1000=Output!AB15</f>
        <v>1</v>
      </c>
    </row>
    <row r="16" spans="1:18" s="91" customFormat="1" x14ac:dyDescent="0.2">
      <c r="C16" s="91" t="s">
        <v>97</v>
      </c>
      <c r="D16" s="137" t="s">
        <v>55</v>
      </c>
      <c r="E16" s="3"/>
      <c r="F16" s="9">
        <f>SUM(Facilities!R64:R66)</f>
        <v>2973767.3648654898</v>
      </c>
      <c r="G16" s="9">
        <f>SUM(Facilities!S64:S66)</f>
        <v>2100056.715745986</v>
      </c>
      <c r="H16" s="9">
        <f>SUM(Facilities!T64:T66)</f>
        <v>1633018.6596711967</v>
      </c>
      <c r="I16" s="9">
        <f>SUM(Facilities!U64:U66)</f>
        <v>1356608.3815861172</v>
      </c>
      <c r="J16" s="9">
        <f>SUM(Facilities!V64:V66)</f>
        <v>1356608.3815861172</v>
      </c>
      <c r="L16" s="9">
        <f t="shared" si="0"/>
        <v>9420059.5034549069</v>
      </c>
      <c r="N16" s="153" t="b">
        <f>SUM(F16:J18)/1000=Output!AB12</f>
        <v>1</v>
      </c>
    </row>
    <row r="17" spans="2:14" s="91" customFormat="1" x14ac:dyDescent="0.2">
      <c r="C17" s="91" t="s">
        <v>72</v>
      </c>
      <c r="D17" s="137" t="s">
        <v>55</v>
      </c>
      <c r="E17" s="3"/>
      <c r="F17" s="9">
        <f>Building!M25</f>
        <v>1786293.8410570414</v>
      </c>
      <c r="G17" s="9">
        <f>Building!N25</f>
        <v>1786293.8410570414</v>
      </c>
      <c r="H17" s="9">
        <f>Building!O25</f>
        <v>1190862.5607046944</v>
      </c>
      <c r="I17" s="9">
        <f>Building!P25</f>
        <v>595431.28035234718</v>
      </c>
      <c r="J17" s="9">
        <f>Building!Q25</f>
        <v>595431.28035234718</v>
      </c>
      <c r="L17" s="9">
        <f t="shared" si="0"/>
        <v>5954312.8035234725</v>
      </c>
    </row>
    <row r="18" spans="2:14" s="91" customFormat="1" x14ac:dyDescent="0.2">
      <c r="C18" s="91" t="s">
        <v>70</v>
      </c>
      <c r="D18" s="137" t="s">
        <v>55</v>
      </c>
      <c r="E18" s="3"/>
      <c r="F18" s="9">
        <f>SUM(Depot!H75:H77)</f>
        <v>0</v>
      </c>
      <c r="G18" s="9">
        <f>SUM(Depot!I75:I77)</f>
        <v>0</v>
      </c>
      <c r="H18" s="9">
        <f>SUM(Depot!J75:J77)</f>
        <v>0</v>
      </c>
      <c r="I18" s="9">
        <f>SUM(Depot!K75:K77)</f>
        <v>0</v>
      </c>
      <c r="J18" s="9">
        <f>SUM(Depot!L75:L77)</f>
        <v>0</v>
      </c>
      <c r="L18" s="9">
        <f t="shared" si="0"/>
        <v>0</v>
      </c>
    </row>
    <row r="19" spans="2:14" s="91" customFormat="1" x14ac:dyDescent="0.2">
      <c r="C19" s="91" t="s">
        <v>70</v>
      </c>
      <c r="D19" s="137" t="s">
        <v>69</v>
      </c>
      <c r="E19" s="3"/>
      <c r="F19" s="9">
        <f>Depot!H78</f>
        <v>0</v>
      </c>
      <c r="G19" s="9">
        <f>Depot!I78</f>
        <v>0</v>
      </c>
      <c r="H19" s="9">
        <f>Depot!J78</f>
        <v>0</v>
      </c>
      <c r="I19" s="9">
        <f>Depot!K78</f>
        <v>0</v>
      </c>
      <c r="J19" s="9">
        <f>Depot!L78</f>
        <v>0</v>
      </c>
      <c r="L19" s="9">
        <f t="shared" si="0"/>
        <v>0</v>
      </c>
      <c r="N19" s="144" t="b">
        <f>SUM(F19:J19)/1000=Output!AB13</f>
        <v>1</v>
      </c>
    </row>
    <row r="20" spans="2:14" s="91" customFormat="1" x14ac:dyDescent="0.2">
      <c r="C20" s="91" t="s">
        <v>101</v>
      </c>
      <c r="D20" s="137" t="s">
        <v>55</v>
      </c>
      <c r="E20" s="3"/>
      <c r="F20" s="9">
        <f>Disposal!H27</f>
        <v>0</v>
      </c>
      <c r="G20" s="9">
        <f>Disposal!I27</f>
        <v>0</v>
      </c>
      <c r="H20" s="9">
        <f>Disposal!J27</f>
        <v>0</v>
      </c>
      <c r="I20" s="9">
        <f>Disposal!K27</f>
        <v>0</v>
      </c>
      <c r="J20" s="9">
        <f>Disposal!L27</f>
        <v>0</v>
      </c>
      <c r="L20" s="9">
        <f t="shared" si="0"/>
        <v>0</v>
      </c>
      <c r="N20" s="144" t="b">
        <f>SUM(F20:J20)/1000=Output!AB16</f>
        <v>1</v>
      </c>
    </row>
    <row r="21" spans="2:14" x14ac:dyDescent="0.2">
      <c r="B21" s="91"/>
      <c r="C21" s="25" t="s">
        <v>43</v>
      </c>
      <c r="D21" s="25"/>
      <c r="E21" s="25"/>
      <c r="F21" s="26">
        <f>SUM(F13:F20)</f>
        <v>6248199.1885294365</v>
      </c>
      <c r="G21" s="26">
        <f>SUM(G13:G20)</f>
        <v>5374488.5394099327</v>
      </c>
      <c r="H21" s="26">
        <f>SUM(H13:H20)</f>
        <v>3896686.7253664006</v>
      </c>
      <c r="I21" s="26">
        <f>SUM(I13:I20)</f>
        <v>2609512.6893125782</v>
      </c>
      <c r="J21" s="26">
        <f>SUM(J13:J20)</f>
        <v>2609512.6893125782</v>
      </c>
      <c r="L21" s="26">
        <f t="shared" si="0"/>
        <v>20738399.831930924</v>
      </c>
      <c r="N21" s="145" t="b">
        <f>SUM(F21:J21)=(SUM(Fleet!S25:W25)+SUM(Tools_Equip!S25:W25)+SUM(Facilities!R64:V66)+SUM(Building!M25:Q25)+SUM(Depot!H79:L79)+SUM(Disposal!H27:L27))</f>
        <v>1</v>
      </c>
    </row>
    <row r="24" spans="2:14" x14ac:dyDescent="0.2">
      <c r="F24" s="138"/>
      <c r="G24" s="138"/>
      <c r="H24" s="138"/>
      <c r="I24" s="138"/>
      <c r="J24" s="138"/>
    </row>
  </sheetData>
  <conditionalFormatting sqref="D7">
    <cfRule type="expression" dxfId="19" priority="1">
      <formula>D7&lt;&gt;TRUE</formula>
    </cfRule>
  </conditionalFormatting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0" tint="-0.499984740745262"/>
    <outlinePr summaryBelow="0" summaryRight="0"/>
  </sheetPr>
  <dimension ref="A1:AI105"/>
  <sheetViews>
    <sheetView showGridLines="0" zoomScale="85" zoomScaleNormal="85" workbookViewId="0"/>
  </sheetViews>
  <sheetFormatPr defaultColWidth="14.42578125" defaultRowHeight="15" customHeight="1" x14ac:dyDescent="0.25"/>
  <cols>
    <col min="1" max="1" width="21.5703125" customWidth="1"/>
    <col min="2" max="2" width="13.28515625" customWidth="1"/>
    <col min="3" max="3" width="15.7109375" customWidth="1"/>
    <col min="4" max="4" width="13.42578125" customWidth="1"/>
    <col min="5" max="5" width="14.42578125" customWidth="1"/>
  </cols>
  <sheetData>
    <row r="1" spans="1:35" ht="21" x14ac:dyDescent="0.35">
      <c r="A1" s="18" t="s">
        <v>45</v>
      </c>
      <c r="B1" s="18"/>
      <c r="C1" s="18"/>
      <c r="D1" s="18"/>
      <c r="E1" s="18"/>
      <c r="F1" s="18"/>
      <c r="G1" s="18"/>
      <c r="H1" s="18"/>
      <c r="I1" s="18"/>
      <c r="J1" s="18"/>
    </row>
    <row r="2" spans="1:35" ht="15.75" x14ac:dyDescent="0.25">
      <c r="A2" s="17" t="s">
        <v>92</v>
      </c>
      <c r="B2" s="17"/>
      <c r="C2" s="17"/>
      <c r="D2" s="17"/>
      <c r="E2" s="17"/>
      <c r="F2" s="17"/>
      <c r="G2" s="17"/>
      <c r="H2" s="17"/>
      <c r="I2" s="17"/>
      <c r="J2" s="17"/>
    </row>
    <row r="3" spans="1:35" s="22" customFormat="1" ht="12.75" customHeight="1" x14ac:dyDescent="0.25">
      <c r="A3" s="35" t="s">
        <v>2</v>
      </c>
      <c r="B3" s="33"/>
      <c r="C3" s="33"/>
      <c r="D3" s="33"/>
      <c r="E3" s="33"/>
      <c r="F3" s="33"/>
      <c r="G3" s="33"/>
      <c r="H3" s="33"/>
      <c r="I3" s="33"/>
      <c r="J3" s="3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</row>
    <row r="4" spans="1:35" s="32" customFormat="1" ht="12.75" customHeight="1" x14ac:dyDescent="0.25">
      <c r="A4" s="31" t="s">
        <v>7</v>
      </c>
      <c r="B4" s="88" t="s">
        <v>2</v>
      </c>
      <c r="C4" s="31" t="s">
        <v>5</v>
      </c>
      <c r="D4" s="31" t="s">
        <v>6</v>
      </c>
    </row>
    <row r="5" spans="1:35" s="32" customFormat="1" ht="12.75" customHeight="1" x14ac:dyDescent="0.25">
      <c r="A5" s="31"/>
      <c r="B5" s="88"/>
      <c r="C5" s="31"/>
      <c r="D5" s="31"/>
    </row>
    <row r="6" spans="1:35" s="32" customFormat="1" ht="12.75" customHeight="1" x14ac:dyDescent="0.25">
      <c r="A6" s="2" t="s">
        <v>13</v>
      </c>
      <c r="B6" s="96">
        <v>2.75E-2</v>
      </c>
      <c r="C6" s="2"/>
      <c r="D6" s="31"/>
    </row>
    <row r="7" spans="1:35" s="32" customFormat="1" ht="12.75" customHeight="1" x14ac:dyDescent="0.25">
      <c r="A7" s="31"/>
      <c r="B7" s="88"/>
      <c r="C7" s="31"/>
      <c r="D7" s="31"/>
    </row>
    <row r="8" spans="1:35" s="32" customFormat="1" ht="12.75" customHeight="1" x14ac:dyDescent="0.25">
      <c r="A8" s="90" t="s">
        <v>29</v>
      </c>
      <c r="B8" s="98">
        <v>2018</v>
      </c>
      <c r="C8" t="s">
        <v>32</v>
      </c>
      <c r="D8" s="31"/>
    </row>
    <row r="9" spans="1:35" s="32" customFormat="1" ht="12.75" customHeight="1" x14ac:dyDescent="0.25">
      <c r="A9" s="90"/>
      <c r="B9" s="90"/>
      <c r="C9" s="90"/>
      <c r="D9" s="90"/>
      <c r="E9" s="90"/>
    </row>
    <row r="10" spans="1:35" ht="12.75" customHeight="1" x14ac:dyDescent="0.25">
      <c r="A10" s="76"/>
      <c r="B10" s="76"/>
      <c r="C10" s="76"/>
      <c r="D10" s="76">
        <v>2015</v>
      </c>
      <c r="E10" s="76">
        <v>2016</v>
      </c>
      <c r="F10" s="76">
        <v>2017</v>
      </c>
      <c r="G10" s="76">
        <v>2018</v>
      </c>
      <c r="H10" s="76">
        <v>2019</v>
      </c>
      <c r="I10" s="77">
        <v>2020</v>
      </c>
      <c r="J10" s="77" t="s">
        <v>30</v>
      </c>
    </row>
    <row r="11" spans="1:35" ht="12.75" customHeight="1" x14ac:dyDescent="0.25">
      <c r="A11" s="139" t="s">
        <v>98</v>
      </c>
      <c r="B11" s="27"/>
      <c r="C11" s="94"/>
      <c r="D11" s="140" t="s">
        <v>107</v>
      </c>
      <c r="E11" s="140" t="s">
        <v>107</v>
      </c>
      <c r="F11" s="140" t="s">
        <v>107</v>
      </c>
      <c r="G11" s="140" t="s">
        <v>107</v>
      </c>
      <c r="H11" s="140" t="s">
        <v>107</v>
      </c>
      <c r="I11" s="140" t="s">
        <v>107</v>
      </c>
      <c r="J11" s="140" t="s">
        <v>108</v>
      </c>
    </row>
    <row r="12" spans="1:35" ht="12.75" customHeight="1" x14ac:dyDescent="0.25">
      <c r="A12" s="141" t="s">
        <v>99</v>
      </c>
      <c r="B12" s="4"/>
      <c r="C12" s="141"/>
      <c r="D12" s="142" t="s">
        <v>24</v>
      </c>
      <c r="E12" s="142" t="s">
        <v>24</v>
      </c>
      <c r="F12" s="142" t="s">
        <v>24</v>
      </c>
      <c r="G12" s="142" t="s">
        <v>24</v>
      </c>
      <c r="H12" s="142" t="s">
        <v>24</v>
      </c>
      <c r="I12" s="143" t="s">
        <v>25</v>
      </c>
      <c r="J12" s="143" t="s">
        <v>25</v>
      </c>
    </row>
    <row r="13" spans="1:35" ht="12.75" customHeight="1" x14ac:dyDescent="0.25">
      <c r="A13" s="91" t="s">
        <v>100</v>
      </c>
      <c r="B13" s="91"/>
      <c r="C13" s="78"/>
      <c r="D13" s="79"/>
      <c r="E13" s="96">
        <v>1.0232558139534831E-2</v>
      </c>
      <c r="F13" s="96">
        <v>1.9337016574585641E-2</v>
      </c>
      <c r="G13" s="96">
        <v>2.0776874435411097E-2</v>
      </c>
      <c r="H13" s="96">
        <v>1.5929203539823078E-2</v>
      </c>
      <c r="I13" s="96">
        <v>2.000000000000024E-2</v>
      </c>
      <c r="J13" s="96">
        <v>2.1998043050963867E-2</v>
      </c>
    </row>
    <row r="14" spans="1:35" ht="12.75" customHeight="1" x14ac:dyDescent="0.25">
      <c r="A14" s="85" t="s">
        <v>26</v>
      </c>
      <c r="B14" s="83"/>
      <c r="C14" s="83"/>
      <c r="D14" s="97">
        <v>1</v>
      </c>
      <c r="E14" s="86">
        <f t="shared" ref="E14:J14" si="0">D14*(1+E13)</f>
        <v>1.0102325581395348</v>
      </c>
      <c r="F14" s="86">
        <f t="shared" si="0"/>
        <v>1.029767441860465</v>
      </c>
      <c r="G14" s="86">
        <f t="shared" si="0"/>
        <v>1.0511627906976744</v>
      </c>
      <c r="H14" s="86">
        <f t="shared" si="0"/>
        <v>1.067906976744186</v>
      </c>
      <c r="I14" s="86">
        <f t="shared" si="0"/>
        <v>1.0892651162790701</v>
      </c>
      <c r="J14" s="86">
        <f t="shared" si="0"/>
        <v>1.1132268172008901</v>
      </c>
    </row>
    <row r="15" spans="1:35" ht="12.75" customHeight="1" x14ac:dyDescent="0.25">
      <c r="A15" s="83"/>
      <c r="B15" s="83"/>
      <c r="C15" s="83"/>
      <c r="D15" s="84"/>
      <c r="E15" s="84"/>
      <c r="F15" s="84"/>
      <c r="G15" s="84"/>
      <c r="H15" s="84"/>
    </row>
    <row r="16" spans="1:35" ht="12.75" customHeight="1" x14ac:dyDescent="0.25">
      <c r="A16" s="90" t="s">
        <v>31</v>
      </c>
      <c r="B16" s="89">
        <f>B8</f>
        <v>2018</v>
      </c>
      <c r="C16" s="91" t="s">
        <v>32</v>
      </c>
      <c r="G16" s="80"/>
      <c r="H16" s="80"/>
    </row>
    <row r="17" spans="1:8" ht="12.75" customHeight="1" x14ac:dyDescent="0.25">
      <c r="A17" s="90" t="s">
        <v>28</v>
      </c>
      <c r="B17" s="95" t="s">
        <v>30</v>
      </c>
      <c r="C17" s="91" t="s">
        <v>33</v>
      </c>
      <c r="G17" s="80"/>
      <c r="H17" s="80"/>
    </row>
    <row r="18" spans="1:8" ht="12.75" customHeight="1" x14ac:dyDescent="0.25">
      <c r="A18" s="90" t="s">
        <v>27</v>
      </c>
      <c r="B18" s="87">
        <f>INDEX($D$14:$J$14, MATCH(B17, $D$10:$J$10,0))/INDEX($D$14:$J$14, MATCH(B16, $D$10:$J$10,0))</f>
        <v>1.0590432110539443</v>
      </c>
      <c r="C18" s="107"/>
      <c r="D18" s="81"/>
      <c r="E18" s="78"/>
      <c r="F18" s="78"/>
      <c r="G18" s="78"/>
      <c r="H18" s="78"/>
    </row>
    <row r="19" spans="1:8" ht="12.75" customHeight="1" x14ac:dyDescent="0.25">
      <c r="A19" s="80"/>
      <c r="B19" s="82"/>
      <c r="C19" s="82"/>
      <c r="D19" s="82"/>
      <c r="E19" s="82"/>
      <c r="F19" s="82"/>
      <c r="G19" s="82"/>
      <c r="H19" s="80"/>
    </row>
    <row r="20" spans="1:8" ht="12.75" customHeight="1" x14ac:dyDescent="0.25"/>
    <row r="21" spans="1:8" ht="12.75" customHeight="1" x14ac:dyDescent="0.25"/>
    <row r="22" spans="1:8" ht="12.75" customHeight="1" x14ac:dyDescent="0.25">
      <c r="A22" s="114" t="s">
        <v>44</v>
      </c>
    </row>
    <row r="23" spans="1:8" ht="12.75" customHeight="1" x14ac:dyDescent="0.25">
      <c r="A23" s="90" t="str">
        <f>Fleet!$A$3</f>
        <v>Fleet</v>
      </c>
    </row>
    <row r="24" spans="1:8" ht="12.75" customHeight="1" x14ac:dyDescent="0.25">
      <c r="A24" s="90" t="str">
        <f>Depot!$A$3</f>
        <v>Depot</v>
      </c>
    </row>
    <row r="25" spans="1:8" ht="12.75" customHeight="1" x14ac:dyDescent="0.25">
      <c r="A25" s="90" t="e">
        <f>#REF!</f>
        <v>#REF!</v>
      </c>
    </row>
    <row r="26" spans="1:8" ht="12.75" customHeight="1" x14ac:dyDescent="0.25"/>
    <row r="27" spans="1:8" ht="12.75" customHeight="1" x14ac:dyDescent="0.25"/>
    <row r="28" spans="1:8" ht="12.75" customHeight="1" x14ac:dyDescent="0.25">
      <c r="A28" s="124" t="s">
        <v>2</v>
      </c>
      <c r="B28" s="125"/>
      <c r="C28" s="125"/>
      <c r="D28" s="126" t="s">
        <v>1</v>
      </c>
      <c r="E28" s="126" t="s">
        <v>0</v>
      </c>
      <c r="F28" s="126" t="s">
        <v>57</v>
      </c>
    </row>
    <row r="29" spans="1:8" ht="12.75" customHeight="1" x14ac:dyDescent="0.25">
      <c r="A29" s="127" t="s">
        <v>55</v>
      </c>
      <c r="C29" s="127"/>
      <c r="D29" s="128">
        <v>0.03</v>
      </c>
      <c r="E29" s="128">
        <v>0.65</v>
      </c>
      <c r="F29" s="129">
        <v>0.32</v>
      </c>
    </row>
    <row r="30" spans="1:8" ht="12.75" customHeight="1" x14ac:dyDescent="0.25">
      <c r="A30" s="127" t="s">
        <v>56</v>
      </c>
      <c r="C30" s="127"/>
      <c r="D30" s="128">
        <v>0</v>
      </c>
      <c r="E30" s="128">
        <v>0.8</v>
      </c>
      <c r="F30" s="129">
        <v>0.2</v>
      </c>
    </row>
    <row r="31" spans="1:8" ht="12.75" customHeight="1" x14ac:dyDescent="0.25">
      <c r="A31" s="127"/>
      <c r="C31" s="127"/>
      <c r="D31" s="127"/>
      <c r="E31" s="127"/>
      <c r="F31" s="127"/>
      <c r="G31" s="127"/>
    </row>
    <row r="32" spans="1:8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</sheetData>
  <dataValidations disablePrompts="1" count="1">
    <dataValidation type="list" allowBlank="1" showInputMessage="1" showErrorMessage="1" sqref="B16:B17 B8">
      <formula1>$D$10:$J$10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B33"/>
  <sheetViews>
    <sheetView showGridLines="0" zoomScale="90" zoomScaleNormal="90" workbookViewId="0"/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140625" style="1" customWidth="1"/>
    <col min="5" max="5" width="11.140625" style="91" customWidth="1"/>
    <col min="6" max="6" width="4.42578125" style="1" customWidth="1"/>
    <col min="7" max="7" width="11.7109375" style="1" customWidth="1"/>
    <col min="8" max="8" width="12.140625" style="1" customWidth="1"/>
    <col min="9" max="9" width="12.7109375" style="12" customWidth="1"/>
    <col min="10" max="10" width="14.28515625" style="12" customWidth="1"/>
    <col min="11" max="11" width="3.42578125" style="1" customWidth="1"/>
    <col min="12" max="16" width="12.140625" style="1" customWidth="1"/>
    <col min="17" max="17" width="16.28515625" style="91" bestFit="1" customWidth="1"/>
    <col min="18" max="18" width="2.85546875" style="1" customWidth="1"/>
    <col min="19" max="23" width="12.140625" style="1" customWidth="1"/>
    <col min="24" max="24" width="2.140625" style="1" customWidth="1"/>
    <col min="25" max="16384" width="9.140625" style="1"/>
  </cols>
  <sheetData>
    <row r="1" spans="1:2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8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6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8" s="37" customFormat="1" ht="15" x14ac:dyDescent="0.25">
      <c r="A3" s="35" t="s">
        <v>46</v>
      </c>
      <c r="B3" s="35"/>
      <c r="C3" s="35"/>
      <c r="D3" s="35"/>
      <c r="E3" s="35"/>
      <c r="F3" s="35"/>
      <c r="G3" s="35"/>
      <c r="H3" s="35"/>
      <c r="I3" s="36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Y3" s="110" t="b">
        <f>SUM(Y7:Y26)=0</f>
        <v>1</v>
      </c>
    </row>
    <row r="4" spans="1:28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8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8" ht="12.75" customHeight="1" x14ac:dyDescent="0.2">
      <c r="A6" s="7"/>
      <c r="G6" s="20"/>
    </row>
    <row r="7" spans="1:28" ht="12.75" customHeight="1" x14ac:dyDescent="0.2">
      <c r="A7" s="7"/>
      <c r="B7" s="91"/>
      <c r="C7" s="112" t="s">
        <v>39</v>
      </c>
      <c r="D7" s="23" t="s">
        <v>20</v>
      </c>
      <c r="E7" s="23" t="s">
        <v>8</v>
      </c>
      <c r="F7" s="20"/>
      <c r="G7" s="155" t="s">
        <v>49</v>
      </c>
      <c r="H7" s="155"/>
      <c r="I7" s="156"/>
      <c r="J7" s="23" t="s">
        <v>52</v>
      </c>
      <c r="K7" s="91"/>
      <c r="L7" s="23" t="s">
        <v>50</v>
      </c>
      <c r="M7" s="24"/>
      <c r="N7" s="24"/>
      <c r="O7" s="24"/>
      <c r="P7" s="123"/>
      <c r="Q7" s="23" t="s">
        <v>53</v>
      </c>
      <c r="R7" s="4"/>
      <c r="S7" s="23" t="s">
        <v>68</v>
      </c>
      <c r="T7" s="24"/>
      <c r="U7" s="24"/>
      <c r="V7" s="24"/>
      <c r="W7" s="24"/>
    </row>
    <row r="8" spans="1:28" s="91" customFormat="1" ht="12.75" customHeight="1" x14ac:dyDescent="0.2">
      <c r="A8" s="7"/>
      <c r="B8" s="7"/>
      <c r="C8" s="7"/>
      <c r="D8" s="7"/>
      <c r="E8" s="7"/>
      <c r="F8" s="20"/>
      <c r="G8" s="113" t="s">
        <v>103</v>
      </c>
      <c r="H8" s="113" t="s">
        <v>104</v>
      </c>
      <c r="I8" s="113" t="s">
        <v>105</v>
      </c>
      <c r="J8" s="113" t="s">
        <v>48</v>
      </c>
      <c r="K8" s="4"/>
      <c r="L8" s="113" t="s">
        <v>103</v>
      </c>
      <c r="M8" s="113" t="s">
        <v>104</v>
      </c>
      <c r="N8" s="113" t="s">
        <v>105</v>
      </c>
      <c r="O8" s="113" t="s">
        <v>48</v>
      </c>
      <c r="P8" s="113" t="s">
        <v>51</v>
      </c>
      <c r="Q8" s="113" t="s">
        <v>54</v>
      </c>
      <c r="R8" s="4"/>
      <c r="S8" s="113" t="s">
        <v>15</v>
      </c>
      <c r="T8" s="113" t="s">
        <v>16</v>
      </c>
      <c r="U8" s="113" t="s">
        <v>17</v>
      </c>
      <c r="V8" s="113" t="s">
        <v>18</v>
      </c>
      <c r="W8" s="113" t="s">
        <v>19</v>
      </c>
    </row>
    <row r="9" spans="1:28" ht="12.75" customHeight="1" x14ac:dyDescent="0.2">
      <c r="A9" s="91"/>
      <c r="B9" s="91"/>
      <c r="C9" s="4"/>
      <c r="D9" s="4"/>
      <c r="E9" s="4"/>
      <c r="F9" s="20"/>
      <c r="G9" s="91"/>
      <c r="H9" s="91"/>
      <c r="K9" s="91"/>
      <c r="L9" s="91"/>
      <c r="M9" s="91"/>
      <c r="N9" s="91"/>
      <c r="O9" s="91"/>
      <c r="P9" s="91"/>
      <c r="R9" s="91"/>
      <c r="S9" s="91"/>
      <c r="T9" s="91"/>
      <c r="U9" s="91"/>
      <c r="V9" s="91"/>
      <c r="W9" s="91"/>
    </row>
    <row r="10" spans="1:28" ht="12.75" customHeight="1" x14ac:dyDescent="0.2">
      <c r="A10" s="7"/>
      <c r="C10" s="99" t="s">
        <v>47</v>
      </c>
      <c r="D10" s="100" t="s">
        <v>4</v>
      </c>
      <c r="E10" s="101" t="s">
        <v>46</v>
      </c>
      <c r="F10" s="3"/>
      <c r="G10" s="117">
        <v>355562.78</v>
      </c>
      <c r="H10" s="117">
        <v>238687.005</v>
      </c>
      <c r="I10" s="117">
        <v>63000.459375000006</v>
      </c>
      <c r="J10" s="117">
        <v>2606095.0097799622</v>
      </c>
      <c r="K10" s="3"/>
      <c r="L10" s="118">
        <f>G10/Assumptions!E14*Assumptions!$G$14</f>
        <v>369968.63848987111</v>
      </c>
      <c r="M10" s="118">
        <f>H10/Assumptions!F14*Assumptions!$G$14</f>
        <v>243646.17493224933</v>
      </c>
      <c r="N10" s="118">
        <f>I10/Assumptions!G14*Assumptions!$G$14</f>
        <v>63000.459375000006</v>
      </c>
      <c r="O10" s="118">
        <f>J10/Assumptions!J14*Assumptions!$G$14</f>
        <v>2460801.3937282264</v>
      </c>
      <c r="P10" s="118">
        <f>AVERAGE(L10:O10)</f>
        <v>784354.16663133667</v>
      </c>
      <c r="Q10" s="118">
        <f>P10*5</f>
        <v>3921770.8331566835</v>
      </c>
      <c r="R10" s="3"/>
      <c r="S10" s="8">
        <f>$Q$10*0.3</f>
        <v>1176531.249947005</v>
      </c>
      <c r="T10" s="8">
        <f>$Q$10*0.3</f>
        <v>1176531.249947005</v>
      </c>
      <c r="U10" s="8">
        <f>$Q$10*0.2</f>
        <v>784354.16663133679</v>
      </c>
      <c r="V10" s="8">
        <f>$Q$10*0.1</f>
        <v>392177.08331566839</v>
      </c>
      <c r="W10" s="8">
        <f>$Q$10*0.1</f>
        <v>392177.08331566839</v>
      </c>
    </row>
    <row r="11" spans="1:28" ht="12.75" customHeight="1" x14ac:dyDescent="0.2">
      <c r="A11" s="7"/>
      <c r="C11" s="99"/>
      <c r="D11" s="100"/>
      <c r="E11" s="101"/>
      <c r="F11" s="3"/>
      <c r="G11" s="117"/>
      <c r="H11" s="117"/>
      <c r="I11" s="117"/>
      <c r="J11" s="117"/>
      <c r="K11" s="3"/>
      <c r="L11" s="119"/>
      <c r="M11" s="119"/>
      <c r="N11" s="119"/>
      <c r="O11" s="119"/>
      <c r="P11" s="119"/>
      <c r="Q11" s="119"/>
      <c r="R11" s="3"/>
      <c r="S11" s="8">
        <f t="shared" ref="S11:S16" si="0">L11*$H11</f>
        <v>0</v>
      </c>
      <c r="T11" s="8">
        <f t="shared" ref="T11:T16" si="1">M11*$H11</f>
        <v>0</v>
      </c>
      <c r="U11" s="8">
        <f t="shared" ref="U11:U16" si="2">N11*$H11</f>
        <v>0</v>
      </c>
      <c r="V11" s="8">
        <f t="shared" ref="V11:V16" si="3">O11*$H11</f>
        <v>0</v>
      </c>
      <c r="W11" s="8">
        <f t="shared" ref="W11:W16" si="4">P11*$H11</f>
        <v>0</v>
      </c>
    </row>
    <row r="12" spans="1:28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3"/>
      <c r="L12" s="119"/>
      <c r="M12" s="119"/>
      <c r="N12" s="119"/>
      <c r="O12" s="119"/>
      <c r="P12" s="119"/>
      <c r="Q12" s="119"/>
      <c r="R12" s="3"/>
      <c r="S12" s="8">
        <f t="shared" si="0"/>
        <v>0</v>
      </c>
      <c r="T12" s="8">
        <f t="shared" si="1"/>
        <v>0</v>
      </c>
      <c r="U12" s="8">
        <f t="shared" si="2"/>
        <v>0</v>
      </c>
      <c r="V12" s="8">
        <f t="shared" si="3"/>
        <v>0</v>
      </c>
      <c r="W12" s="8">
        <f t="shared" si="4"/>
        <v>0</v>
      </c>
    </row>
    <row r="13" spans="1:28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3"/>
      <c r="L13" s="119"/>
      <c r="M13" s="119"/>
      <c r="N13" s="119"/>
      <c r="O13" s="119"/>
      <c r="P13" s="119"/>
      <c r="Q13" s="119"/>
      <c r="R13" s="3"/>
      <c r="S13" s="8">
        <f t="shared" si="0"/>
        <v>0</v>
      </c>
      <c r="T13" s="8">
        <f t="shared" si="1"/>
        <v>0</v>
      </c>
      <c r="U13" s="8">
        <f t="shared" si="2"/>
        <v>0</v>
      </c>
      <c r="V13" s="8">
        <f t="shared" si="3"/>
        <v>0</v>
      </c>
      <c r="W13" s="8">
        <f t="shared" si="4"/>
        <v>0</v>
      </c>
      <c r="AB13"/>
    </row>
    <row r="14" spans="1:28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3"/>
      <c r="L14" s="119"/>
      <c r="M14" s="119"/>
      <c r="N14" s="119"/>
      <c r="O14" s="119"/>
      <c r="P14" s="119"/>
      <c r="Q14" s="119"/>
      <c r="R14" s="3"/>
      <c r="S14" s="8">
        <f t="shared" si="0"/>
        <v>0</v>
      </c>
      <c r="T14" s="8">
        <f t="shared" si="1"/>
        <v>0</v>
      </c>
      <c r="U14" s="8">
        <f t="shared" si="2"/>
        <v>0</v>
      </c>
      <c r="V14" s="8">
        <f t="shared" si="3"/>
        <v>0</v>
      </c>
      <c r="W14" s="8">
        <f t="shared" si="4"/>
        <v>0</v>
      </c>
      <c r="AB14"/>
    </row>
    <row r="15" spans="1:28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3"/>
      <c r="L15" s="120"/>
      <c r="M15" s="120"/>
      <c r="N15" s="120"/>
      <c r="O15" s="121"/>
      <c r="P15" s="120"/>
      <c r="Q15" s="120"/>
      <c r="R15" s="3"/>
      <c r="S15" s="8">
        <f t="shared" si="0"/>
        <v>0</v>
      </c>
      <c r="T15" s="8">
        <f t="shared" si="1"/>
        <v>0</v>
      </c>
      <c r="U15" s="8">
        <f t="shared" si="2"/>
        <v>0</v>
      </c>
      <c r="V15" s="8">
        <f t="shared" si="3"/>
        <v>0</v>
      </c>
      <c r="W15" s="8">
        <f t="shared" si="4"/>
        <v>0</v>
      </c>
      <c r="AB15"/>
    </row>
    <row r="16" spans="1:28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3"/>
      <c r="L16" s="121"/>
      <c r="M16" s="120"/>
      <c r="N16" s="121"/>
      <c r="O16" s="120"/>
      <c r="P16" s="121"/>
      <c r="Q16" s="121"/>
      <c r="R16" s="3"/>
      <c r="S16" s="8">
        <f t="shared" si="0"/>
        <v>0</v>
      </c>
      <c r="T16" s="8">
        <f t="shared" si="1"/>
        <v>0</v>
      </c>
      <c r="U16" s="8">
        <f t="shared" si="2"/>
        <v>0</v>
      </c>
      <c r="V16" s="8">
        <f t="shared" si="3"/>
        <v>0</v>
      </c>
      <c r="W16" s="8">
        <f t="shared" si="4"/>
        <v>0</v>
      </c>
      <c r="AB16"/>
    </row>
    <row r="17" spans="1:28" ht="12.75" customHeight="1" x14ac:dyDescent="0.25">
      <c r="A17" s="7"/>
      <c r="C17" s="91"/>
      <c r="D17" s="91"/>
      <c r="F17" s="3"/>
      <c r="G17" s="91"/>
      <c r="H17" s="91"/>
      <c r="K17" s="3"/>
      <c r="L17" s="91"/>
      <c r="M17" s="91"/>
      <c r="N17" s="91"/>
      <c r="O17" s="91"/>
      <c r="P17" s="91"/>
      <c r="R17" s="3"/>
      <c r="AB17"/>
    </row>
    <row r="18" spans="1:28" ht="12.75" customHeight="1" x14ac:dyDescent="0.25">
      <c r="A18" s="7"/>
      <c r="C18" s="91"/>
      <c r="D18" s="91"/>
      <c r="F18" s="3"/>
      <c r="G18" s="91"/>
      <c r="H18" s="91"/>
      <c r="K18" s="3"/>
      <c r="L18" s="91"/>
      <c r="M18" s="91"/>
      <c r="N18" s="91"/>
      <c r="O18" s="91"/>
      <c r="P18" s="91"/>
      <c r="R18" s="3"/>
      <c r="AB18"/>
    </row>
    <row r="19" spans="1:28" ht="12.75" customHeight="1" x14ac:dyDescent="0.25">
      <c r="G19" s="3"/>
      <c r="K19" s="3"/>
      <c r="R19" s="3"/>
      <c r="AB19"/>
    </row>
    <row r="20" spans="1:28" ht="12.75" customHeight="1" x14ac:dyDescent="0.25">
      <c r="C20" s="5" t="s">
        <v>12</v>
      </c>
      <c r="G20" s="3"/>
      <c r="K20" s="3"/>
      <c r="R20" s="3"/>
      <c r="AB20"/>
    </row>
    <row r="21" spans="1:28" ht="12.75" customHeight="1" x14ac:dyDescent="0.2">
      <c r="C21" s="27" t="s">
        <v>1</v>
      </c>
      <c r="D21" s="27" t="s">
        <v>4</v>
      </c>
      <c r="E21" s="27" t="s">
        <v>46</v>
      </c>
      <c r="F21" s="91"/>
      <c r="G21" s="27"/>
      <c r="H21" s="27"/>
      <c r="I21" s="28"/>
      <c r="J21" s="27"/>
      <c r="K21" s="3"/>
      <c r="L21" s="27"/>
      <c r="M21" s="27"/>
      <c r="N21" s="27"/>
      <c r="O21" s="27"/>
      <c r="P21" s="27"/>
      <c r="Q21" s="27"/>
      <c r="R21" s="3"/>
      <c r="S21" s="40">
        <f>SUM(S$10:S$16)*Assumptions!$D$30</f>
        <v>0</v>
      </c>
      <c r="T21" s="40">
        <f>SUM(T$10:T$16)*Assumptions!$D$30</f>
        <v>0</v>
      </c>
      <c r="U21" s="40">
        <f>SUM(U$10:U$16)*Assumptions!$D$30</f>
        <v>0</v>
      </c>
      <c r="V21" s="40">
        <f>SUM(V$10:V$16)*Assumptions!$D$30</f>
        <v>0</v>
      </c>
      <c r="W21" s="40">
        <f>SUM(W$10:W$16)*Assumptions!$D$30</f>
        <v>0</v>
      </c>
    </row>
    <row r="22" spans="1:28" ht="12.75" customHeight="1" x14ac:dyDescent="0.2">
      <c r="C22" s="4" t="s">
        <v>0</v>
      </c>
      <c r="D22" s="4" t="s">
        <v>4</v>
      </c>
      <c r="E22" s="4" t="s">
        <v>46</v>
      </c>
      <c r="F22" s="91"/>
      <c r="G22" s="4"/>
      <c r="H22" s="4"/>
      <c r="I22" s="13"/>
      <c r="J22" s="4"/>
      <c r="K22" s="3"/>
      <c r="L22" s="4"/>
      <c r="M22" s="4"/>
      <c r="N22" s="4"/>
      <c r="O22" s="4"/>
      <c r="P22" s="4"/>
      <c r="Q22" s="4"/>
      <c r="R22" s="3"/>
      <c r="S22" s="130">
        <f>SUM(S$10:S$16)*Assumptions!$E$30</f>
        <v>941224.99995760398</v>
      </c>
      <c r="T22" s="130">
        <f>SUM(T$10:T$16)*Assumptions!$E$30</f>
        <v>941224.99995760398</v>
      </c>
      <c r="U22" s="130">
        <f>SUM(U$10:U$16)*Assumptions!$E$30</f>
        <v>627483.33330506948</v>
      </c>
      <c r="V22" s="130">
        <f>SUM(V$10:V$16)*Assumptions!$E$30</f>
        <v>313741.66665253474</v>
      </c>
      <c r="W22" s="130">
        <f>SUM(W$10:W$16)*Assumptions!$E$30</f>
        <v>313741.66665253474</v>
      </c>
    </row>
    <row r="23" spans="1:28" ht="12.75" customHeight="1" x14ac:dyDescent="0.2">
      <c r="C23" s="4" t="s">
        <v>3</v>
      </c>
      <c r="D23" s="4" t="s">
        <v>4</v>
      </c>
      <c r="E23" s="4" t="s">
        <v>46</v>
      </c>
      <c r="F23" s="91"/>
      <c r="G23" s="4"/>
      <c r="H23" s="4"/>
      <c r="I23" s="13"/>
      <c r="J23" s="4"/>
      <c r="K23" s="3"/>
      <c r="L23" s="4"/>
      <c r="M23" s="4"/>
      <c r="N23" s="4"/>
      <c r="O23" s="4"/>
      <c r="P23" s="4"/>
      <c r="Q23" s="4"/>
      <c r="R23" s="3"/>
      <c r="S23" s="130">
        <f>SUM(S$10:S$16)*Assumptions!$F$30</f>
        <v>235306.249989401</v>
      </c>
      <c r="T23" s="130">
        <f>SUM(T$10:T$16)*Assumptions!$F$30</f>
        <v>235306.249989401</v>
      </c>
      <c r="U23" s="130">
        <f>SUM(U$10:U$16)*Assumptions!$F$30</f>
        <v>156870.83332626737</v>
      </c>
      <c r="V23" s="130">
        <f>SUM(V$10:V$16)*Assumptions!$F$30</f>
        <v>78435.416663133685</v>
      </c>
      <c r="W23" s="130">
        <f>SUM(W$10:W$16)*Assumptions!$F$30</f>
        <v>78435.416663133685</v>
      </c>
    </row>
    <row r="24" spans="1:28" ht="12.75" customHeight="1" x14ac:dyDescent="0.2">
      <c r="C24" s="10" t="str">
        <f>"Total Expenditure ($ "&amp;Assumptions!$B$8&amp;")"</f>
        <v>Total Expenditure ($ 2018)</v>
      </c>
      <c r="D24" s="10"/>
      <c r="E24" s="10"/>
      <c r="F24" s="91"/>
      <c r="G24" s="10"/>
      <c r="H24" s="10"/>
      <c r="I24" s="14"/>
      <c r="J24" s="10"/>
      <c r="K24" s="3"/>
      <c r="L24" s="10"/>
      <c r="M24" s="10"/>
      <c r="N24" s="10"/>
      <c r="O24" s="10"/>
      <c r="P24" s="10"/>
      <c r="Q24" s="10"/>
      <c r="R24" s="3"/>
      <c r="S24" s="11">
        <f>SUM(S21:S23)</f>
        <v>1176531.249947005</v>
      </c>
      <c r="T24" s="11">
        <f>SUM(T21:T23)</f>
        <v>1176531.249947005</v>
      </c>
      <c r="U24" s="11">
        <f>SUM(U21:U23)</f>
        <v>784354.16663133679</v>
      </c>
      <c r="V24" s="11">
        <f>SUM(V21:V23)</f>
        <v>392177.08331566839</v>
      </c>
      <c r="W24" s="11">
        <f>SUM(W21:W23)</f>
        <v>392177.08331566839</v>
      </c>
      <c r="X24" s="39"/>
    </row>
    <row r="25" spans="1:28" ht="12.75" customHeight="1" x14ac:dyDescent="0.2">
      <c r="C25" s="27" t="str">
        <f>"Total Expenditure ($ "&amp;Assumptions!B17&amp;")"</f>
        <v>Total Expenditure ($ 2020/21)</v>
      </c>
      <c r="D25" s="27"/>
      <c r="E25" s="4"/>
      <c r="F25" s="91"/>
      <c r="G25" s="27"/>
      <c r="H25" s="27"/>
      <c r="I25" s="28"/>
      <c r="J25" s="27"/>
      <c r="K25" s="3"/>
      <c r="L25" s="27"/>
      <c r="M25" s="27"/>
      <c r="N25" s="27"/>
      <c r="O25" s="27"/>
      <c r="P25" s="27"/>
      <c r="Q25" s="27"/>
      <c r="R25" s="3"/>
      <c r="S25" s="40">
        <f>S24*Assumptions!$B$18</f>
        <v>1245997.4328491869</v>
      </c>
      <c r="T25" s="40">
        <f>T24*Assumptions!$B$18</f>
        <v>1245997.4328491869</v>
      </c>
      <c r="U25" s="40">
        <f>U24*Assumptions!$B$18</f>
        <v>830664.95523279137</v>
      </c>
      <c r="V25" s="40">
        <f>V24*Assumptions!$B$18</f>
        <v>415332.47761639568</v>
      </c>
      <c r="W25" s="40">
        <f>W24*Assumptions!$B$18</f>
        <v>415332.47761639568</v>
      </c>
      <c r="X25" s="39"/>
    </row>
    <row r="26" spans="1:28" ht="12.75" customHeight="1" x14ac:dyDescent="0.2">
      <c r="C26" s="92" t="s">
        <v>11</v>
      </c>
      <c r="D26" s="92"/>
      <c r="E26" s="92"/>
      <c r="F26" s="91"/>
      <c r="G26" s="92"/>
      <c r="H26" s="92"/>
      <c r="I26" s="92"/>
      <c r="J26" s="92"/>
      <c r="K26" s="3"/>
      <c r="L26" s="92"/>
      <c r="M26" s="92"/>
      <c r="N26" s="92"/>
      <c r="O26" s="92"/>
      <c r="P26" s="92"/>
      <c r="Q26" s="92"/>
      <c r="R26" s="3"/>
      <c r="S26" s="93">
        <f>S24-SUM(S10:S18)</f>
        <v>0</v>
      </c>
      <c r="T26" s="93">
        <f>T24-SUM(T10:T18)</f>
        <v>0</v>
      </c>
      <c r="U26" s="93">
        <f>U24-SUM(U10:U18)</f>
        <v>0</v>
      </c>
      <c r="V26" s="93">
        <f>V24-SUM(V10:V18)</f>
        <v>0</v>
      </c>
      <c r="W26" s="93">
        <f>W24-SUM(W10:W18)</f>
        <v>0</v>
      </c>
      <c r="Y26" s="93">
        <f>SUM(S26:W26)</f>
        <v>0</v>
      </c>
    </row>
    <row r="27" spans="1:28" ht="12.75" customHeight="1" x14ac:dyDescent="0.2">
      <c r="G27" s="3"/>
      <c r="K27" s="3"/>
      <c r="R27" s="3"/>
    </row>
    <row r="28" spans="1:28" ht="12.75" customHeight="1" x14ac:dyDescent="0.2">
      <c r="C28" s="115" t="str">
        <f>"NPV ($ "&amp;Assumptions!$B$17&amp;")"</f>
        <v>NPV ($ 2020/21)</v>
      </c>
      <c r="D28" s="116">
        <f>NPV(Assumptions!$B$6,$S$25:$W$25)</f>
        <v>3893853.4264362101</v>
      </c>
      <c r="G28" s="3"/>
      <c r="K28" s="3"/>
      <c r="R28" s="3"/>
    </row>
    <row r="29" spans="1:28" ht="12.75" customHeight="1" x14ac:dyDescent="0.2">
      <c r="R29" s="3"/>
    </row>
    <row r="30" spans="1:28" ht="12.75" customHeight="1" x14ac:dyDescent="0.2">
      <c r="R30" s="3"/>
    </row>
    <row r="31" spans="1:28" ht="12.75" customHeight="1" x14ac:dyDescent="0.2"/>
    <row r="32" spans="1:28" ht="12.75" customHeight="1" x14ac:dyDescent="0.2"/>
    <row r="33" ht="12.75" customHeight="1" x14ac:dyDescent="0.2"/>
  </sheetData>
  <sortState ref="B28:B30">
    <sortCondition ref="B28:B30"/>
  </sortState>
  <mergeCells count="1">
    <mergeCell ref="G7:I7"/>
  </mergeCells>
  <conditionalFormatting sqref="Y26">
    <cfRule type="expression" dxfId="18" priority="2">
      <formula>ABS(Y26)&gt;0.001</formula>
    </cfRule>
  </conditionalFormatting>
  <conditionalFormatting sqref="S26:W26">
    <cfRule type="expression" dxfId="17" priority="1">
      <formula>ABS(S26)&gt;0.001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33"/>
  <sheetViews>
    <sheetView showGridLines="0" zoomScale="90" zoomScaleNormal="90" workbookViewId="0"/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140625" style="91" customWidth="1"/>
    <col min="5" max="5" width="20" style="91" bestFit="1" customWidth="1"/>
    <col min="6" max="6" width="4.42578125" style="91" customWidth="1"/>
    <col min="7" max="7" width="11.7109375" style="91" customWidth="1"/>
    <col min="8" max="8" width="12.140625" style="91" customWidth="1"/>
    <col min="9" max="9" width="12.7109375" style="12" customWidth="1"/>
    <col min="10" max="10" width="14.28515625" style="12" customWidth="1"/>
    <col min="11" max="11" width="3.42578125" style="91" customWidth="1"/>
    <col min="12" max="16" width="12.140625" style="91" customWidth="1"/>
    <col min="17" max="17" width="16.28515625" style="91" bestFit="1" customWidth="1"/>
    <col min="18" max="18" width="2.85546875" style="91" customWidth="1"/>
    <col min="19" max="23" width="12.140625" style="91" customWidth="1"/>
    <col min="24" max="24" width="2.140625" style="91" customWidth="1"/>
    <col min="25" max="16384" width="9.140625" style="91"/>
  </cols>
  <sheetData>
    <row r="1" spans="1:28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</row>
    <row r="2" spans="1:28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6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</row>
    <row r="3" spans="1:28" s="37" customFormat="1" ht="15" x14ac:dyDescent="0.25">
      <c r="A3" s="35" t="s">
        <v>58</v>
      </c>
      <c r="B3" s="35"/>
      <c r="C3" s="35"/>
      <c r="D3" s="35"/>
      <c r="E3" s="35"/>
      <c r="F3" s="35"/>
      <c r="G3" s="35"/>
      <c r="H3" s="35"/>
      <c r="I3" s="36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Y3" s="110" t="b">
        <f>SUM(Y7:Y26)=0</f>
        <v>1</v>
      </c>
    </row>
    <row r="4" spans="1:28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</row>
    <row r="5" spans="1:28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</row>
    <row r="6" spans="1:28" ht="12.75" customHeight="1" x14ac:dyDescent="0.2">
      <c r="A6" s="7"/>
      <c r="G6" s="20"/>
    </row>
    <row r="7" spans="1:28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G7" s="155" t="s">
        <v>49</v>
      </c>
      <c r="H7" s="155"/>
      <c r="I7" s="156"/>
      <c r="J7" s="23" t="s">
        <v>52</v>
      </c>
      <c r="L7" s="23" t="s">
        <v>50</v>
      </c>
      <c r="M7" s="24"/>
      <c r="N7" s="24"/>
      <c r="O7" s="24"/>
      <c r="P7" s="123"/>
      <c r="Q7" s="23" t="s">
        <v>53</v>
      </c>
      <c r="R7" s="4"/>
      <c r="S7" s="23" t="s">
        <v>68</v>
      </c>
      <c r="T7" s="24"/>
      <c r="U7" s="24"/>
      <c r="V7" s="24"/>
      <c r="W7" s="24"/>
    </row>
    <row r="8" spans="1:28" ht="12.75" customHeight="1" x14ac:dyDescent="0.2">
      <c r="A8" s="7"/>
      <c r="B8" s="7"/>
      <c r="C8" s="7"/>
      <c r="D8" s="7"/>
      <c r="E8" s="7"/>
      <c r="F8" s="20"/>
      <c r="G8" s="113" t="s">
        <v>103</v>
      </c>
      <c r="H8" s="113" t="s">
        <v>104</v>
      </c>
      <c r="I8" s="113" t="s">
        <v>105</v>
      </c>
      <c r="J8" s="113" t="s">
        <v>48</v>
      </c>
      <c r="K8" s="4"/>
      <c r="L8" s="113" t="s">
        <v>103</v>
      </c>
      <c r="M8" s="113" t="s">
        <v>104</v>
      </c>
      <c r="N8" s="113" t="s">
        <v>105</v>
      </c>
      <c r="O8" s="113" t="s">
        <v>48</v>
      </c>
      <c r="P8" s="113" t="s">
        <v>51</v>
      </c>
      <c r="Q8" s="113" t="s">
        <v>54</v>
      </c>
      <c r="R8" s="4"/>
      <c r="S8" s="113" t="s">
        <v>15</v>
      </c>
      <c r="T8" s="113" t="s">
        <v>16</v>
      </c>
      <c r="U8" s="113" t="s">
        <v>17</v>
      </c>
      <c r="V8" s="113" t="s">
        <v>18</v>
      </c>
      <c r="W8" s="113" t="s">
        <v>19</v>
      </c>
    </row>
    <row r="9" spans="1:28" ht="12.75" customHeight="1" x14ac:dyDescent="0.2">
      <c r="C9" s="4"/>
      <c r="D9" s="4"/>
      <c r="E9" s="4"/>
      <c r="F9" s="20"/>
    </row>
    <row r="10" spans="1:28" ht="12.75" customHeight="1" x14ac:dyDescent="0.2">
      <c r="A10" s="7"/>
      <c r="C10" s="99" t="s">
        <v>59</v>
      </c>
      <c r="D10" s="100" t="s">
        <v>4</v>
      </c>
      <c r="E10" s="101" t="s">
        <v>73</v>
      </c>
      <c r="F10" s="3"/>
      <c r="G10" s="117">
        <v>163500.80499999999</v>
      </c>
      <c r="H10" s="117">
        <v>119653</v>
      </c>
      <c r="I10" s="117">
        <v>197904.21000000005</v>
      </c>
      <c r="J10" s="117">
        <v>449452.71200521872</v>
      </c>
      <c r="K10" s="3"/>
      <c r="L10" s="118">
        <f>G10/Assumptions!E14*Assumptions!$G$14</f>
        <v>170125.14700736647</v>
      </c>
      <c r="M10" s="118">
        <f>H10/Assumptions!F14*Assumptions!$G$14</f>
        <v>122139.01535682024</v>
      </c>
      <c r="N10" s="118">
        <f>I10/Assumptions!G14*Assumptions!$G$14</f>
        <v>197904.21000000005</v>
      </c>
      <c r="O10" s="118">
        <f>J10/Assumptions!J14*Assumptions!$G$14</f>
        <v>424395.06463379337</v>
      </c>
      <c r="P10" s="118">
        <f>AVERAGE(L10:O10)</f>
        <v>228640.85924949503</v>
      </c>
      <c r="Q10" s="118">
        <f>P10*5</f>
        <v>1143204.2962474751</v>
      </c>
      <c r="R10" s="3"/>
      <c r="S10" s="8">
        <f>$P$10</f>
        <v>228640.85924949503</v>
      </c>
      <c r="T10" s="8">
        <f t="shared" ref="T10:W10" si="0">$P$10</f>
        <v>228640.85924949503</v>
      </c>
      <c r="U10" s="8">
        <f t="shared" si="0"/>
        <v>228640.85924949503</v>
      </c>
      <c r="V10" s="8">
        <f t="shared" si="0"/>
        <v>228640.85924949503</v>
      </c>
      <c r="W10" s="8">
        <f t="shared" si="0"/>
        <v>228640.85924949503</v>
      </c>
    </row>
    <row r="11" spans="1:28" ht="12.75" customHeight="1" x14ac:dyDescent="0.2">
      <c r="A11" s="7"/>
      <c r="C11" s="99"/>
      <c r="D11" s="100"/>
      <c r="E11" s="101"/>
      <c r="F11" s="3"/>
      <c r="G11" s="117"/>
      <c r="H11" s="117"/>
      <c r="I11" s="117"/>
      <c r="J11" s="117"/>
      <c r="K11" s="3"/>
      <c r="L11" s="119"/>
      <c r="M11" s="119"/>
      <c r="N11" s="119"/>
      <c r="O11" s="119"/>
      <c r="P11" s="119"/>
      <c r="Q11" s="119"/>
      <c r="R11" s="3"/>
      <c r="S11" s="8">
        <f t="shared" ref="S11:S16" si="1">L11*$H11</f>
        <v>0</v>
      </c>
      <c r="T11" s="8">
        <f t="shared" ref="T11:W16" si="2">M11*$H11</f>
        <v>0</v>
      </c>
      <c r="U11" s="8">
        <f t="shared" si="2"/>
        <v>0</v>
      </c>
      <c r="V11" s="8">
        <f t="shared" si="2"/>
        <v>0</v>
      </c>
      <c r="W11" s="8">
        <f t="shared" si="2"/>
        <v>0</v>
      </c>
    </row>
    <row r="12" spans="1:28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3"/>
      <c r="L12" s="119"/>
      <c r="M12" s="119"/>
      <c r="N12" s="119"/>
      <c r="O12" s="119"/>
      <c r="P12" s="119"/>
      <c r="Q12" s="119"/>
      <c r="R12" s="3"/>
      <c r="S12" s="8">
        <f t="shared" si="1"/>
        <v>0</v>
      </c>
      <c r="T12" s="8">
        <f t="shared" si="2"/>
        <v>0</v>
      </c>
      <c r="U12" s="8">
        <f t="shared" si="2"/>
        <v>0</v>
      </c>
      <c r="V12" s="8">
        <f t="shared" si="2"/>
        <v>0</v>
      </c>
      <c r="W12" s="8">
        <f t="shared" si="2"/>
        <v>0</v>
      </c>
    </row>
    <row r="13" spans="1:28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3"/>
      <c r="L13" s="119"/>
      <c r="M13" s="119"/>
      <c r="N13" s="119"/>
      <c r="O13" s="119"/>
      <c r="P13" s="119"/>
      <c r="Q13" s="119"/>
      <c r="R13" s="3"/>
      <c r="S13" s="8">
        <f t="shared" si="1"/>
        <v>0</v>
      </c>
      <c r="T13" s="8">
        <f t="shared" si="2"/>
        <v>0</v>
      </c>
      <c r="U13" s="8">
        <f t="shared" si="2"/>
        <v>0</v>
      </c>
      <c r="V13" s="8">
        <f t="shared" si="2"/>
        <v>0</v>
      </c>
      <c r="W13" s="8">
        <f t="shared" si="2"/>
        <v>0</v>
      </c>
      <c r="AB13"/>
    </row>
    <row r="14" spans="1:28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3"/>
      <c r="L14" s="119"/>
      <c r="M14" s="119"/>
      <c r="N14" s="119"/>
      <c r="O14" s="119"/>
      <c r="P14" s="119"/>
      <c r="Q14" s="119"/>
      <c r="R14" s="3"/>
      <c r="S14" s="8">
        <f t="shared" si="1"/>
        <v>0</v>
      </c>
      <c r="T14" s="8">
        <f t="shared" si="2"/>
        <v>0</v>
      </c>
      <c r="U14" s="8">
        <f t="shared" si="2"/>
        <v>0</v>
      </c>
      <c r="V14" s="8">
        <f t="shared" si="2"/>
        <v>0</v>
      </c>
      <c r="W14" s="8">
        <f t="shared" si="2"/>
        <v>0</v>
      </c>
      <c r="AB14"/>
    </row>
    <row r="15" spans="1:28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3"/>
      <c r="L15" s="120"/>
      <c r="M15" s="120"/>
      <c r="N15" s="120"/>
      <c r="O15" s="121"/>
      <c r="P15" s="120"/>
      <c r="Q15" s="120"/>
      <c r="R15" s="3"/>
      <c r="S15" s="8">
        <f t="shared" si="1"/>
        <v>0</v>
      </c>
      <c r="T15" s="8">
        <f t="shared" si="2"/>
        <v>0</v>
      </c>
      <c r="U15" s="8">
        <f t="shared" si="2"/>
        <v>0</v>
      </c>
      <c r="V15" s="8">
        <f t="shared" si="2"/>
        <v>0</v>
      </c>
      <c r="W15" s="8">
        <f t="shared" si="2"/>
        <v>0</v>
      </c>
      <c r="AB15"/>
    </row>
    <row r="16" spans="1:28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3"/>
      <c r="L16" s="121"/>
      <c r="M16" s="120"/>
      <c r="N16" s="121"/>
      <c r="O16" s="120"/>
      <c r="P16" s="121"/>
      <c r="Q16" s="121"/>
      <c r="R16" s="3"/>
      <c r="S16" s="8">
        <f t="shared" si="1"/>
        <v>0</v>
      </c>
      <c r="T16" s="8">
        <f t="shared" si="2"/>
        <v>0</v>
      </c>
      <c r="U16" s="8">
        <f t="shared" si="2"/>
        <v>0</v>
      </c>
      <c r="V16" s="8">
        <f t="shared" si="2"/>
        <v>0</v>
      </c>
      <c r="W16" s="8">
        <f t="shared" si="2"/>
        <v>0</v>
      </c>
      <c r="AB16"/>
    </row>
    <row r="17" spans="1:28" ht="12.75" customHeight="1" x14ac:dyDescent="0.25">
      <c r="A17" s="7"/>
      <c r="F17" s="3"/>
      <c r="K17" s="3"/>
      <c r="R17" s="3"/>
      <c r="AB17"/>
    </row>
    <row r="18" spans="1:28" ht="12.75" customHeight="1" x14ac:dyDescent="0.25">
      <c r="A18" s="7"/>
      <c r="F18" s="3"/>
      <c r="K18" s="3"/>
      <c r="R18" s="3"/>
      <c r="AB18"/>
    </row>
    <row r="19" spans="1:28" ht="12.75" customHeight="1" x14ac:dyDescent="0.25">
      <c r="G19" s="3"/>
      <c r="K19" s="3"/>
      <c r="R19" s="3"/>
      <c r="AB19"/>
    </row>
    <row r="20" spans="1:28" ht="12.75" customHeight="1" x14ac:dyDescent="0.25">
      <c r="C20" s="5" t="s">
        <v>12</v>
      </c>
      <c r="G20" s="3"/>
      <c r="K20" s="3"/>
      <c r="R20" s="3"/>
      <c r="AB20"/>
    </row>
    <row r="21" spans="1:28" ht="12.75" customHeight="1" x14ac:dyDescent="0.2">
      <c r="C21" s="27" t="s">
        <v>1</v>
      </c>
      <c r="D21" s="27" t="s">
        <v>4</v>
      </c>
      <c r="E21" s="27" t="s">
        <v>73</v>
      </c>
      <c r="G21" s="27"/>
      <c r="H21" s="27"/>
      <c r="I21" s="28"/>
      <c r="J21" s="27"/>
      <c r="K21" s="3"/>
      <c r="L21" s="27"/>
      <c r="M21" s="27"/>
      <c r="N21" s="27"/>
      <c r="O21" s="27"/>
      <c r="P21" s="27"/>
      <c r="Q21" s="27"/>
      <c r="R21" s="3"/>
      <c r="S21" s="40">
        <f>SUM(S$10:S$16)*Assumptions!$D$30</f>
        <v>0</v>
      </c>
      <c r="T21" s="40">
        <f>SUM(T$10:T$16)*Assumptions!$D$30</f>
        <v>0</v>
      </c>
      <c r="U21" s="40">
        <f>SUM(U$10:U$16)*Assumptions!$D$30</f>
        <v>0</v>
      </c>
      <c r="V21" s="40">
        <f>SUM(V$10:V$16)*Assumptions!$D$30</f>
        <v>0</v>
      </c>
      <c r="W21" s="40">
        <f>SUM(W$10:W$16)*Assumptions!$D$30</f>
        <v>0</v>
      </c>
    </row>
    <row r="22" spans="1:28" ht="12.75" customHeight="1" x14ac:dyDescent="0.2">
      <c r="C22" s="4" t="s">
        <v>0</v>
      </c>
      <c r="D22" s="4" t="s">
        <v>4</v>
      </c>
      <c r="E22" s="4" t="s">
        <v>73</v>
      </c>
      <c r="G22" s="4"/>
      <c r="H22" s="4"/>
      <c r="I22" s="13"/>
      <c r="J22" s="4"/>
      <c r="K22" s="3"/>
      <c r="L22" s="4"/>
      <c r="M22" s="4"/>
      <c r="N22" s="4"/>
      <c r="O22" s="4"/>
      <c r="P22" s="4"/>
      <c r="Q22" s="4"/>
      <c r="R22" s="3"/>
      <c r="S22" s="130">
        <f>SUM(S$10:S$16)*Assumptions!$E$30</f>
        <v>182912.68739959603</v>
      </c>
      <c r="T22" s="130">
        <f>SUM(T$10:T$16)*Assumptions!$E$30</f>
        <v>182912.68739959603</v>
      </c>
      <c r="U22" s="130">
        <f>SUM(U$10:U$16)*Assumptions!$E$30</f>
        <v>182912.68739959603</v>
      </c>
      <c r="V22" s="130">
        <f>SUM(V$10:V$16)*Assumptions!$E$30</f>
        <v>182912.68739959603</v>
      </c>
      <c r="W22" s="130">
        <f>SUM(W$10:W$16)*Assumptions!$E$30</f>
        <v>182912.68739959603</v>
      </c>
    </row>
    <row r="23" spans="1:28" ht="12.75" customHeight="1" x14ac:dyDescent="0.2">
      <c r="C23" s="4" t="s">
        <v>3</v>
      </c>
      <c r="D23" s="4" t="s">
        <v>4</v>
      </c>
      <c r="E23" s="4" t="s">
        <v>73</v>
      </c>
      <c r="G23" s="4"/>
      <c r="H23" s="4"/>
      <c r="I23" s="13"/>
      <c r="J23" s="4"/>
      <c r="K23" s="3"/>
      <c r="L23" s="4"/>
      <c r="M23" s="4"/>
      <c r="N23" s="4"/>
      <c r="O23" s="4"/>
      <c r="P23" s="4"/>
      <c r="Q23" s="4"/>
      <c r="R23" s="3"/>
      <c r="S23" s="130">
        <f>SUM(S$10:S$16)*Assumptions!$F$30</f>
        <v>45728.171849899009</v>
      </c>
      <c r="T23" s="130">
        <f>SUM(T$10:T$16)*Assumptions!$F$30</f>
        <v>45728.171849899009</v>
      </c>
      <c r="U23" s="130">
        <f>SUM(U$10:U$16)*Assumptions!$F$30</f>
        <v>45728.171849899009</v>
      </c>
      <c r="V23" s="130">
        <f>SUM(V$10:V$16)*Assumptions!$F$30</f>
        <v>45728.171849899009</v>
      </c>
      <c r="W23" s="130">
        <f>SUM(W$10:W$16)*Assumptions!$F$30</f>
        <v>45728.171849899009</v>
      </c>
    </row>
    <row r="24" spans="1:28" ht="12.75" customHeight="1" x14ac:dyDescent="0.2">
      <c r="C24" s="10" t="str">
        <f>"Total Expenditure ($ "&amp;Assumptions!$B$8&amp;")"</f>
        <v>Total Expenditure ($ 2018)</v>
      </c>
      <c r="D24" s="10"/>
      <c r="E24" s="10"/>
      <c r="G24" s="10"/>
      <c r="H24" s="10"/>
      <c r="I24" s="14"/>
      <c r="J24" s="10"/>
      <c r="K24" s="3"/>
      <c r="L24" s="10"/>
      <c r="M24" s="10"/>
      <c r="N24" s="10"/>
      <c r="O24" s="10"/>
      <c r="P24" s="10"/>
      <c r="Q24" s="10"/>
      <c r="R24" s="3"/>
      <c r="S24" s="11">
        <f>SUM(S21:S23)</f>
        <v>228640.85924949503</v>
      </c>
      <c r="T24" s="11">
        <f>SUM(T21:T23)</f>
        <v>228640.85924949503</v>
      </c>
      <c r="U24" s="11">
        <f>SUM(U21:U23)</f>
        <v>228640.85924949503</v>
      </c>
      <c r="V24" s="11">
        <f>SUM(V21:V23)</f>
        <v>228640.85924949503</v>
      </c>
      <c r="W24" s="11">
        <f>SUM(W21:W23)</f>
        <v>228640.85924949503</v>
      </c>
      <c r="X24" s="39"/>
    </row>
    <row r="25" spans="1:28" ht="12.75" customHeight="1" x14ac:dyDescent="0.2">
      <c r="C25" s="27" t="str">
        <f>"Total Expenditure ($ "&amp;Assumptions!B17&amp;")"</f>
        <v>Total Expenditure ($ 2020/21)</v>
      </c>
      <c r="D25" s="27"/>
      <c r="E25" s="4"/>
      <c r="G25" s="27"/>
      <c r="H25" s="27"/>
      <c r="I25" s="28"/>
      <c r="J25" s="27"/>
      <c r="K25" s="3"/>
      <c r="L25" s="27"/>
      <c r="M25" s="27"/>
      <c r="N25" s="27"/>
      <c r="O25" s="27"/>
      <c r="P25" s="27"/>
      <c r="Q25" s="27"/>
      <c r="R25" s="3"/>
      <c r="S25" s="40">
        <f>S24*Assumptions!$B$18</f>
        <v>242140.54975771814</v>
      </c>
      <c r="T25" s="40">
        <f>T24*Assumptions!$B$18</f>
        <v>242140.54975771814</v>
      </c>
      <c r="U25" s="40">
        <f>U24*Assumptions!$B$18</f>
        <v>242140.54975771814</v>
      </c>
      <c r="V25" s="40">
        <f>V24*Assumptions!$B$18</f>
        <v>242140.54975771814</v>
      </c>
      <c r="W25" s="40">
        <f>W24*Assumptions!$B$18</f>
        <v>242140.54975771814</v>
      </c>
      <c r="X25" s="39"/>
    </row>
    <row r="26" spans="1:28" ht="12.75" customHeight="1" x14ac:dyDescent="0.2">
      <c r="C26" s="92" t="s">
        <v>11</v>
      </c>
      <c r="D26" s="92"/>
      <c r="E26" s="92"/>
      <c r="G26" s="92"/>
      <c r="H26" s="92"/>
      <c r="I26" s="92"/>
      <c r="J26" s="92"/>
      <c r="K26" s="3"/>
      <c r="L26" s="92"/>
      <c r="M26" s="92"/>
      <c r="N26" s="92"/>
      <c r="O26" s="92"/>
      <c r="P26" s="92"/>
      <c r="Q26" s="92"/>
      <c r="R26" s="3"/>
      <c r="S26" s="93">
        <f>S24-SUM(S10:S18)</f>
        <v>0</v>
      </c>
      <c r="T26" s="93">
        <f>T24-SUM(T10:T18)</f>
        <v>0</v>
      </c>
      <c r="U26" s="93">
        <f>U24-SUM(U10:U18)</f>
        <v>0</v>
      </c>
      <c r="V26" s="93">
        <f>V24-SUM(V10:V18)</f>
        <v>0</v>
      </c>
      <c r="W26" s="93">
        <f>W24-SUM(W10:W18)</f>
        <v>0</v>
      </c>
      <c r="Y26" s="93">
        <f>SUM(S26:W26)</f>
        <v>0</v>
      </c>
    </row>
    <row r="27" spans="1:28" ht="12.75" customHeight="1" x14ac:dyDescent="0.2">
      <c r="G27" s="3"/>
      <c r="K27" s="3"/>
      <c r="R27" s="3"/>
    </row>
    <row r="28" spans="1:28" ht="12.75" customHeight="1" x14ac:dyDescent="0.2">
      <c r="C28" s="115" t="str">
        <f>"NPV ($ "&amp;Assumptions!$B$17&amp;")"</f>
        <v>NPV ($ 2020/21)</v>
      </c>
      <c r="D28" s="116">
        <f>NPV(Assumptions!$B$6,$S$25:$W$25)</f>
        <v>1116893.1083960214</v>
      </c>
      <c r="G28" s="3"/>
      <c r="K28" s="3"/>
      <c r="R28" s="3"/>
    </row>
    <row r="29" spans="1:28" ht="12.75" customHeight="1" x14ac:dyDescent="0.2">
      <c r="R29" s="3"/>
    </row>
    <row r="30" spans="1:28" ht="12.75" customHeight="1" x14ac:dyDescent="0.2">
      <c r="R30" s="3"/>
    </row>
    <row r="31" spans="1:28" ht="12.75" customHeight="1" x14ac:dyDescent="0.2"/>
    <row r="32" spans="1:28" ht="12.75" customHeight="1" x14ac:dyDescent="0.2"/>
    <row r="33" ht="12.75" customHeight="1" x14ac:dyDescent="0.2"/>
  </sheetData>
  <mergeCells count="1">
    <mergeCell ref="G7:I7"/>
  </mergeCells>
  <conditionalFormatting sqref="Y26">
    <cfRule type="expression" dxfId="16" priority="2">
      <formula>ABS(Y26)&gt;0.001</formula>
    </cfRule>
  </conditionalFormatting>
  <conditionalFormatting sqref="S26:W26">
    <cfRule type="expression" dxfId="15" priority="1">
      <formula>ABS(S26)&gt;0.001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A73"/>
  <sheetViews>
    <sheetView showGridLines="0" zoomScale="90" zoomScaleNormal="90" workbookViewId="0"/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5703125" style="91" customWidth="1"/>
    <col min="5" max="7" width="11.140625" style="91" customWidth="1"/>
    <col min="8" max="8" width="2.85546875" style="91" customWidth="1"/>
    <col min="9" max="9" width="12.140625" style="91" customWidth="1"/>
    <col min="10" max="10" width="12.7109375" style="12" customWidth="1"/>
    <col min="11" max="11" width="2.85546875" style="91" customWidth="1"/>
    <col min="12" max="16" width="12.140625" style="91" customWidth="1"/>
    <col min="17" max="17" width="2.85546875" style="91" customWidth="1"/>
    <col min="18" max="22" width="12.140625" style="91" customWidth="1"/>
    <col min="23" max="23" width="2.140625" style="91" customWidth="1"/>
    <col min="24" max="24" width="9.140625" style="91"/>
    <col min="25" max="25" width="12.7109375" style="91" bestFit="1" customWidth="1"/>
    <col min="26" max="16384" width="9.140625" style="91"/>
  </cols>
  <sheetData>
    <row r="1" spans="1:27" ht="21" x14ac:dyDescent="0.35">
      <c r="A1" s="18" t="s">
        <v>109</v>
      </c>
      <c r="B1" s="18"/>
      <c r="C1" s="15"/>
      <c r="D1" s="15"/>
      <c r="E1" s="15"/>
      <c r="F1" s="15"/>
      <c r="G1" s="15"/>
      <c r="H1" s="15"/>
      <c r="I1" s="15"/>
      <c r="J1" s="16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</row>
    <row r="2" spans="1:27" ht="15.75" x14ac:dyDescent="0.25">
      <c r="A2" s="17" t="s">
        <v>110</v>
      </c>
      <c r="B2" s="17"/>
      <c r="C2" s="15"/>
      <c r="D2" s="15"/>
      <c r="E2" s="15"/>
      <c r="F2" s="15"/>
      <c r="G2" s="15"/>
      <c r="H2" s="15"/>
      <c r="I2" s="15"/>
      <c r="J2" s="16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</row>
    <row r="3" spans="1:27" s="37" customFormat="1" ht="15" x14ac:dyDescent="0.25">
      <c r="A3" s="35" t="s">
        <v>77</v>
      </c>
      <c r="B3" s="35"/>
      <c r="C3" s="35"/>
      <c r="D3" s="35"/>
      <c r="E3" s="35"/>
      <c r="F3" s="35"/>
      <c r="G3" s="35"/>
      <c r="H3" s="35"/>
      <c r="I3" s="35"/>
      <c r="J3" s="36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X3" s="110" t="b">
        <f>SUM(X7:X58)=0</f>
        <v>1</v>
      </c>
      <c r="Y3" s="110" t="b">
        <v>1</v>
      </c>
    </row>
    <row r="4" spans="1:2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1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7" s="2" customFormat="1" ht="12.75" customHeight="1" x14ac:dyDescent="0.2">
      <c r="A5" s="2" t="s">
        <v>111</v>
      </c>
      <c r="B5" s="22"/>
      <c r="C5" s="20"/>
      <c r="D5" s="20"/>
      <c r="E5" s="20"/>
      <c r="F5" s="20"/>
      <c r="G5" s="20"/>
      <c r="H5" s="20"/>
      <c r="I5" s="20"/>
      <c r="J5" s="21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</row>
    <row r="6" spans="1:27" ht="12.75" customHeight="1" x14ac:dyDescent="0.2">
      <c r="A6" s="7"/>
      <c r="H6" s="20"/>
    </row>
    <row r="7" spans="1:27" ht="12.75" customHeight="1" x14ac:dyDescent="0.2">
      <c r="A7" s="7"/>
      <c r="C7" s="112" t="s">
        <v>39</v>
      </c>
      <c r="D7" s="122" t="s">
        <v>78</v>
      </c>
      <c r="E7" s="23" t="s">
        <v>20</v>
      </c>
      <c r="F7" s="23" t="s">
        <v>8</v>
      </c>
      <c r="G7" s="23" t="s">
        <v>79</v>
      </c>
      <c r="H7" s="20"/>
      <c r="I7" s="23" t="s">
        <v>14</v>
      </c>
      <c r="J7" s="23" t="s">
        <v>9</v>
      </c>
      <c r="L7" s="23" t="s">
        <v>38</v>
      </c>
      <c r="M7" s="24"/>
      <c r="N7" s="24"/>
      <c r="O7" s="24"/>
      <c r="P7" s="24"/>
      <c r="Q7" s="4"/>
      <c r="R7" s="23" t="s">
        <v>10</v>
      </c>
      <c r="S7" s="24"/>
      <c r="T7" s="24"/>
      <c r="U7" s="24"/>
      <c r="V7" s="24"/>
    </row>
    <row r="8" spans="1:27" ht="12.75" customHeight="1" x14ac:dyDescent="0.2">
      <c r="A8" s="7"/>
      <c r="B8" s="7"/>
      <c r="C8" s="7"/>
      <c r="D8" s="7"/>
      <c r="E8" s="7"/>
      <c r="F8" s="7"/>
      <c r="G8" s="7"/>
      <c r="H8" s="20"/>
      <c r="I8" s="7"/>
      <c r="J8" s="7"/>
      <c r="K8" s="4"/>
      <c r="L8" s="113" t="s">
        <v>15</v>
      </c>
      <c r="M8" s="113" t="s">
        <v>16</v>
      </c>
      <c r="N8" s="113" t="s">
        <v>17</v>
      </c>
      <c r="O8" s="113" t="s">
        <v>18</v>
      </c>
      <c r="P8" s="113" t="s">
        <v>19</v>
      </c>
      <c r="Q8" s="4"/>
      <c r="R8" s="113" t="s">
        <v>15</v>
      </c>
      <c r="S8" s="113" t="s">
        <v>16</v>
      </c>
      <c r="T8" s="113" t="s">
        <v>17</v>
      </c>
      <c r="U8" s="113" t="s">
        <v>18</v>
      </c>
      <c r="V8" s="113" t="s">
        <v>19</v>
      </c>
    </row>
    <row r="9" spans="1:27" ht="12.75" customHeight="1" x14ac:dyDescent="0.2">
      <c r="D9" s="4"/>
      <c r="H9" s="20"/>
    </row>
    <row r="10" spans="1:27" ht="12.75" customHeight="1" x14ac:dyDescent="0.2">
      <c r="A10" s="7" t="str">
        <f>IF(ISBLANK(B10),"",1+MAX(A$6:A9))</f>
        <v/>
      </c>
      <c r="C10" s="99" t="s">
        <v>80</v>
      </c>
      <c r="D10" s="131">
        <v>0</v>
      </c>
      <c r="E10" s="100" t="s">
        <v>4</v>
      </c>
      <c r="F10" s="100" t="s">
        <v>1</v>
      </c>
      <c r="G10" s="101" t="s">
        <v>66</v>
      </c>
      <c r="H10" s="3"/>
      <c r="I10" s="102">
        <v>122.2</v>
      </c>
      <c r="J10" s="12" t="s">
        <v>35</v>
      </c>
      <c r="K10" s="3"/>
      <c r="L10" s="103">
        <v>409.16530278232403</v>
      </c>
      <c r="M10" s="103">
        <v>2454.9918166939442</v>
      </c>
      <c r="N10" s="103">
        <v>409.16530278232403</v>
      </c>
      <c r="O10" s="103">
        <v>8183.3060556464807</v>
      </c>
      <c r="P10" s="103">
        <v>409.16530278232403</v>
      </c>
      <c r="Q10" s="3"/>
      <c r="R10" s="8">
        <f>L10*$I10*$D10</f>
        <v>0</v>
      </c>
      <c r="S10" s="8">
        <f>M10*$I10*$D10</f>
        <v>0</v>
      </c>
      <c r="T10" s="8">
        <f>N10*$I10*$D10</f>
        <v>0</v>
      </c>
      <c r="U10" s="8">
        <f>O10*$I10*$D10</f>
        <v>0</v>
      </c>
      <c r="V10" s="8">
        <f>P10*$I10*$D10</f>
        <v>0</v>
      </c>
    </row>
    <row r="11" spans="1:27" ht="12.75" customHeight="1" x14ac:dyDescent="0.2">
      <c r="A11" s="7" t="str">
        <f>IF(ISBLANK(B11),"",1+MAX(A$6:A10))</f>
        <v/>
      </c>
      <c r="C11" s="99" t="s">
        <v>81</v>
      </c>
      <c r="D11" s="131">
        <v>0.9</v>
      </c>
      <c r="E11" s="100" t="s">
        <v>4</v>
      </c>
      <c r="F11" s="100" t="s">
        <v>1</v>
      </c>
      <c r="G11" s="101" t="s">
        <v>66</v>
      </c>
      <c r="H11" s="3"/>
      <c r="I11" s="102">
        <v>122.2</v>
      </c>
      <c r="J11" s="12" t="s">
        <v>35</v>
      </c>
      <c r="K11" s="3"/>
      <c r="L11" s="103">
        <v>3273.3224222585923</v>
      </c>
      <c r="M11" s="103">
        <v>3273.3224222585923</v>
      </c>
      <c r="N11" s="103">
        <v>0</v>
      </c>
      <c r="O11" s="103">
        <v>0</v>
      </c>
      <c r="P11" s="103">
        <v>0</v>
      </c>
      <c r="Q11" s="3"/>
      <c r="R11" s="8">
        <f t="shared" ref="R11:V18" si="0">L11*$I11*$D11</f>
        <v>360000</v>
      </c>
      <c r="S11" s="8">
        <f t="shared" si="0"/>
        <v>360000</v>
      </c>
      <c r="T11" s="8">
        <f t="shared" si="0"/>
        <v>0</v>
      </c>
      <c r="U11" s="8">
        <f t="shared" si="0"/>
        <v>0</v>
      </c>
      <c r="V11" s="8">
        <f t="shared" si="0"/>
        <v>0</v>
      </c>
    </row>
    <row r="12" spans="1:27" ht="12.75" customHeight="1" x14ac:dyDescent="0.2">
      <c r="A12" s="7" t="str">
        <f>IF(ISBLANK(B12),"",1+MAX(A$6:A11))</f>
        <v/>
      </c>
      <c r="C12" s="99" t="s">
        <v>82</v>
      </c>
      <c r="D12" s="131">
        <v>0.6</v>
      </c>
      <c r="E12" s="100" t="s">
        <v>4</v>
      </c>
      <c r="F12" s="100" t="s">
        <v>1</v>
      </c>
      <c r="G12" s="101" t="s">
        <v>66</v>
      </c>
      <c r="H12" s="3"/>
      <c r="I12" s="102">
        <v>122.2</v>
      </c>
      <c r="J12" s="12" t="s">
        <v>35</v>
      </c>
      <c r="K12" s="3"/>
      <c r="L12" s="103">
        <v>1636.6612111292961</v>
      </c>
      <c r="M12" s="103">
        <v>0</v>
      </c>
      <c r="N12" s="103">
        <v>0</v>
      </c>
      <c r="O12" s="103">
        <v>0</v>
      </c>
      <c r="P12" s="103">
        <v>0</v>
      </c>
      <c r="Q12" s="3"/>
      <c r="R12" s="8">
        <f t="shared" si="0"/>
        <v>120000</v>
      </c>
      <c r="S12" s="8">
        <f t="shared" si="0"/>
        <v>0</v>
      </c>
      <c r="T12" s="8">
        <f t="shared" si="0"/>
        <v>0</v>
      </c>
      <c r="U12" s="8">
        <f t="shared" si="0"/>
        <v>0</v>
      </c>
      <c r="V12" s="8">
        <f t="shared" si="0"/>
        <v>0</v>
      </c>
    </row>
    <row r="13" spans="1:27" ht="12.75" customHeight="1" x14ac:dyDescent="0.25">
      <c r="A13" s="7" t="str">
        <f>IF(ISBLANK(B13),"",1+MAX(A$6:A12))</f>
        <v/>
      </c>
      <c r="C13" s="99" t="s">
        <v>83</v>
      </c>
      <c r="D13" s="131">
        <v>1</v>
      </c>
      <c r="E13" s="100" t="s">
        <v>4</v>
      </c>
      <c r="F13" s="100" t="s">
        <v>1</v>
      </c>
      <c r="G13" s="101" t="s">
        <v>66</v>
      </c>
      <c r="H13" s="3"/>
      <c r="I13" s="102">
        <v>122.2</v>
      </c>
      <c r="J13" s="12" t="s">
        <v>35</v>
      </c>
      <c r="K13" s="3"/>
      <c r="L13" s="103">
        <v>818.33060556464807</v>
      </c>
      <c r="M13" s="103">
        <v>0</v>
      </c>
      <c r="N13" s="103">
        <v>0</v>
      </c>
      <c r="O13" s="103">
        <v>0</v>
      </c>
      <c r="P13" s="103">
        <v>0</v>
      </c>
      <c r="Q13" s="3"/>
      <c r="R13" s="8">
        <f t="shared" si="0"/>
        <v>100000</v>
      </c>
      <c r="S13" s="8">
        <f t="shared" si="0"/>
        <v>0</v>
      </c>
      <c r="T13" s="8">
        <f t="shared" si="0"/>
        <v>0</v>
      </c>
      <c r="U13" s="8">
        <f t="shared" si="0"/>
        <v>0</v>
      </c>
      <c r="V13" s="8">
        <f t="shared" si="0"/>
        <v>0</v>
      </c>
      <c r="AA13"/>
    </row>
    <row r="14" spans="1:27" ht="12.75" customHeight="1" x14ac:dyDescent="0.25">
      <c r="A14" s="7"/>
      <c r="C14" s="99" t="s">
        <v>84</v>
      </c>
      <c r="D14" s="131">
        <v>0.6</v>
      </c>
      <c r="E14" s="100" t="s">
        <v>4</v>
      </c>
      <c r="F14" s="100" t="s">
        <v>1</v>
      </c>
      <c r="G14" s="101" t="s">
        <v>66</v>
      </c>
      <c r="H14" s="3"/>
      <c r="I14" s="102">
        <v>122.2</v>
      </c>
      <c r="J14" s="12" t="s">
        <v>35</v>
      </c>
      <c r="K14" s="3"/>
      <c r="L14" s="103">
        <v>0</v>
      </c>
      <c r="M14" s="103">
        <v>0</v>
      </c>
      <c r="N14" s="103">
        <v>6137.4795417348605</v>
      </c>
      <c r="O14" s="103">
        <v>0</v>
      </c>
      <c r="P14" s="103">
        <v>0</v>
      </c>
      <c r="Q14" s="3"/>
      <c r="R14" s="8">
        <f t="shared" si="0"/>
        <v>0</v>
      </c>
      <c r="S14" s="8">
        <f t="shared" si="0"/>
        <v>0</v>
      </c>
      <c r="T14" s="8">
        <f t="shared" si="0"/>
        <v>450000</v>
      </c>
      <c r="U14" s="8">
        <f t="shared" si="0"/>
        <v>0</v>
      </c>
      <c r="V14" s="8">
        <f t="shared" si="0"/>
        <v>0</v>
      </c>
      <c r="AA14"/>
    </row>
    <row r="15" spans="1:27" ht="12.75" customHeight="1" x14ac:dyDescent="0.25">
      <c r="A15" s="7"/>
      <c r="C15" s="99" t="s">
        <v>85</v>
      </c>
      <c r="D15" s="131">
        <v>0</v>
      </c>
      <c r="E15" s="100" t="s">
        <v>4</v>
      </c>
      <c r="F15" s="100" t="s">
        <v>1</v>
      </c>
      <c r="G15" s="101" t="s">
        <v>66</v>
      </c>
      <c r="H15" s="3"/>
      <c r="I15" s="102">
        <v>122.2</v>
      </c>
      <c r="J15" s="12" t="s">
        <v>35</v>
      </c>
      <c r="K15" s="3"/>
      <c r="L15" s="103">
        <v>1227.4959083469721</v>
      </c>
      <c r="M15" s="103">
        <v>0</v>
      </c>
      <c r="N15" s="103">
        <v>0</v>
      </c>
      <c r="O15" s="103">
        <v>2045.8265139116202</v>
      </c>
      <c r="P15" s="103">
        <v>0</v>
      </c>
      <c r="Q15" s="3"/>
      <c r="R15" s="8">
        <f t="shared" si="0"/>
        <v>0</v>
      </c>
      <c r="S15" s="8">
        <f t="shared" si="0"/>
        <v>0</v>
      </c>
      <c r="T15" s="8">
        <f t="shared" si="0"/>
        <v>0</v>
      </c>
      <c r="U15" s="8">
        <f t="shared" si="0"/>
        <v>0</v>
      </c>
      <c r="V15" s="8">
        <f t="shared" si="0"/>
        <v>0</v>
      </c>
      <c r="AA15"/>
    </row>
    <row r="16" spans="1:27" ht="12.75" customHeight="1" x14ac:dyDescent="0.25">
      <c r="A16" s="7" t="str">
        <f>IF(ISBLANK(B16),"",1+MAX(A$6:A13))</f>
        <v/>
      </c>
      <c r="C16" s="99" t="s">
        <v>86</v>
      </c>
      <c r="D16" s="131">
        <v>0.95</v>
      </c>
      <c r="E16" s="100" t="s">
        <v>4</v>
      </c>
      <c r="F16" s="100" t="s">
        <v>1</v>
      </c>
      <c r="G16" s="101" t="s">
        <v>87</v>
      </c>
      <c r="H16" s="3"/>
      <c r="I16" s="102">
        <v>122.2</v>
      </c>
      <c r="J16" s="12" t="s">
        <v>35</v>
      </c>
      <c r="K16" s="3"/>
      <c r="L16" s="103">
        <v>11268.412438625204</v>
      </c>
      <c r="M16" s="103">
        <v>11268.412438625204</v>
      </c>
      <c r="N16" s="103">
        <v>11268.412438625204</v>
      </c>
      <c r="O16" s="103">
        <v>11268.412438625204</v>
      </c>
      <c r="P16" s="103">
        <v>11268.412438625204</v>
      </c>
      <c r="Q16" s="3"/>
      <c r="R16" s="8">
        <f t="shared" si="0"/>
        <v>1308150</v>
      </c>
      <c r="S16" s="8">
        <f t="shared" si="0"/>
        <v>1308150</v>
      </c>
      <c r="T16" s="8">
        <f t="shared" si="0"/>
        <v>1308150</v>
      </c>
      <c r="U16" s="8">
        <f t="shared" si="0"/>
        <v>1308150</v>
      </c>
      <c r="V16" s="8">
        <f t="shared" si="0"/>
        <v>1308150</v>
      </c>
      <c r="AA16"/>
    </row>
    <row r="17" spans="1:27" ht="12.75" customHeight="1" x14ac:dyDescent="0.25">
      <c r="A17" s="7" t="str">
        <f>IF(ISBLANK(B17),"",1+MAX(A$6:A16))</f>
        <v/>
      </c>
      <c r="C17" s="99" t="s">
        <v>88</v>
      </c>
      <c r="D17" s="131">
        <v>0.95</v>
      </c>
      <c r="E17" s="100" t="s">
        <v>4</v>
      </c>
      <c r="F17" s="100" t="s">
        <v>1</v>
      </c>
      <c r="G17" s="101" t="s">
        <v>89</v>
      </c>
      <c r="H17" s="3"/>
      <c r="I17" s="102">
        <v>122.2</v>
      </c>
      <c r="J17" s="12" t="s">
        <v>35</v>
      </c>
      <c r="K17" s="3"/>
      <c r="L17" s="103">
        <v>900.1636661211129</v>
      </c>
      <c r="M17" s="103">
        <v>900.1636661211129</v>
      </c>
      <c r="N17" s="103">
        <v>900.1636661211129</v>
      </c>
      <c r="O17" s="103">
        <v>900.1636661211129</v>
      </c>
      <c r="P17" s="103">
        <v>900.1636661211129</v>
      </c>
      <c r="Q17" s="3"/>
      <c r="R17" s="8">
        <f t="shared" si="0"/>
        <v>104500</v>
      </c>
      <c r="S17" s="8">
        <f t="shared" si="0"/>
        <v>104500</v>
      </c>
      <c r="T17" s="8">
        <f t="shared" si="0"/>
        <v>104500</v>
      </c>
      <c r="U17" s="8">
        <f t="shared" si="0"/>
        <v>104500</v>
      </c>
      <c r="V17" s="8">
        <f t="shared" si="0"/>
        <v>104500</v>
      </c>
      <c r="AA17"/>
    </row>
    <row r="18" spans="1:27" ht="12.75" customHeight="1" x14ac:dyDescent="0.25">
      <c r="A18" s="7" t="str">
        <f>IF(ISBLANK(B18),"",1+MAX(A$6:A17))</f>
        <v/>
      </c>
      <c r="C18" s="106" t="s">
        <v>90</v>
      </c>
      <c r="D18" s="131">
        <v>0.95</v>
      </c>
      <c r="E18" s="100" t="s">
        <v>4</v>
      </c>
      <c r="F18" s="100" t="s">
        <v>1</v>
      </c>
      <c r="G18" s="101" t="s">
        <v>70</v>
      </c>
      <c r="H18" s="3"/>
      <c r="I18" s="102">
        <v>122.2</v>
      </c>
      <c r="J18" s="12" t="s">
        <v>35</v>
      </c>
      <c r="K18" s="3"/>
      <c r="L18" s="103">
        <v>11646.481178396072</v>
      </c>
      <c r="M18" s="103">
        <v>11646.481178396072</v>
      </c>
      <c r="N18" s="103">
        <v>11646.481178396072</v>
      </c>
      <c r="O18" s="103">
        <v>11646.481178396072</v>
      </c>
      <c r="P18" s="103">
        <v>11646.481178396072</v>
      </c>
      <c r="Q18" s="3"/>
      <c r="R18" s="8">
        <f t="shared" si="0"/>
        <v>1352040</v>
      </c>
      <c r="S18" s="8">
        <f t="shared" si="0"/>
        <v>1352040</v>
      </c>
      <c r="T18" s="8">
        <f t="shared" si="0"/>
        <v>1352040</v>
      </c>
      <c r="U18" s="8">
        <f t="shared" si="0"/>
        <v>1352040</v>
      </c>
      <c r="V18" s="8">
        <f t="shared" si="0"/>
        <v>1352040</v>
      </c>
      <c r="AA18"/>
    </row>
    <row r="19" spans="1:27" ht="12.75" customHeight="1" x14ac:dyDescent="0.25">
      <c r="A19" s="7" t="str">
        <f>IF(ISBLANK(B19),"",1+MAX(A$6:A18))</f>
        <v/>
      </c>
      <c r="G19" s="4"/>
      <c r="H19" s="3"/>
      <c r="K19" s="3"/>
      <c r="Q19" s="3"/>
      <c r="AA19"/>
    </row>
    <row r="20" spans="1:27" ht="12.75" customHeight="1" x14ac:dyDescent="0.25">
      <c r="A20" s="7" t="str">
        <f>IF(ISBLANK(B20),"",1+MAX(A$6:A19))</f>
        <v/>
      </c>
      <c r="C20" s="99" t="s">
        <v>80</v>
      </c>
      <c r="D20" s="131">
        <v>0</v>
      </c>
      <c r="E20" s="100" t="s">
        <v>4</v>
      </c>
      <c r="F20" s="100" t="s">
        <v>0</v>
      </c>
      <c r="G20" s="101" t="s">
        <v>66</v>
      </c>
      <c r="H20" s="3"/>
      <c r="I20" s="117">
        <v>50000</v>
      </c>
      <c r="J20" s="12" t="s">
        <v>36</v>
      </c>
      <c r="K20" s="3"/>
      <c r="L20" s="104">
        <v>1</v>
      </c>
      <c r="M20" s="104">
        <v>1</v>
      </c>
      <c r="N20" s="104">
        <v>1</v>
      </c>
      <c r="O20" s="104">
        <v>30</v>
      </c>
      <c r="P20" s="104">
        <v>1</v>
      </c>
      <c r="Q20" s="3"/>
      <c r="R20" s="8">
        <f t="shared" ref="R20:V28" si="1">L20*$I20*$D20</f>
        <v>0</v>
      </c>
      <c r="S20" s="8">
        <f t="shared" si="1"/>
        <v>0</v>
      </c>
      <c r="T20" s="8">
        <f t="shared" si="1"/>
        <v>0</v>
      </c>
      <c r="U20" s="8">
        <f t="shared" si="1"/>
        <v>0</v>
      </c>
      <c r="V20" s="8">
        <f t="shared" si="1"/>
        <v>0</v>
      </c>
      <c r="AA20"/>
    </row>
    <row r="21" spans="1:27" ht="12.75" customHeight="1" x14ac:dyDescent="0.25">
      <c r="A21" s="7"/>
      <c r="C21" s="99" t="s">
        <v>81</v>
      </c>
      <c r="D21" s="131">
        <v>0.9</v>
      </c>
      <c r="E21" s="100" t="s">
        <v>4</v>
      </c>
      <c r="F21" s="100" t="s">
        <v>0</v>
      </c>
      <c r="G21" s="101" t="s">
        <v>66</v>
      </c>
      <c r="H21" s="3"/>
      <c r="I21" s="117">
        <v>2200000</v>
      </c>
      <c r="J21" s="12" t="s">
        <v>36</v>
      </c>
      <c r="K21" s="3"/>
      <c r="L21" s="132">
        <v>1.8636363636363635</v>
      </c>
      <c r="M21" s="104">
        <v>1</v>
      </c>
      <c r="N21" s="104"/>
      <c r="O21" s="105"/>
      <c r="P21" s="104"/>
      <c r="Q21" s="3"/>
      <c r="R21" s="8">
        <f t="shared" si="1"/>
        <v>3690000</v>
      </c>
      <c r="S21" s="8">
        <f t="shared" si="1"/>
        <v>1980000</v>
      </c>
      <c r="T21" s="8">
        <f t="shared" si="1"/>
        <v>0</v>
      </c>
      <c r="U21" s="8">
        <f t="shared" si="1"/>
        <v>0</v>
      </c>
      <c r="V21" s="8">
        <f t="shared" si="1"/>
        <v>0</v>
      </c>
      <c r="AA21"/>
    </row>
    <row r="22" spans="1:27" ht="12.75" customHeight="1" x14ac:dyDescent="0.25">
      <c r="A22" s="7"/>
      <c r="C22" s="99" t="s">
        <v>82</v>
      </c>
      <c r="D22" s="131">
        <v>0.6</v>
      </c>
      <c r="E22" s="100" t="s">
        <v>4</v>
      </c>
      <c r="F22" s="100" t="s">
        <v>0</v>
      </c>
      <c r="G22" s="101" t="s">
        <v>66</v>
      </c>
      <c r="H22" s="3"/>
      <c r="I22" s="117">
        <v>750000</v>
      </c>
      <c r="J22" s="12" t="s">
        <v>36</v>
      </c>
      <c r="K22" s="3"/>
      <c r="L22" s="104">
        <v>1</v>
      </c>
      <c r="M22" s="105"/>
      <c r="N22" s="104"/>
      <c r="O22" s="105"/>
      <c r="P22" s="104"/>
      <c r="Q22" s="3"/>
      <c r="R22" s="8">
        <f t="shared" si="1"/>
        <v>450000</v>
      </c>
      <c r="S22" s="8">
        <f t="shared" si="1"/>
        <v>0</v>
      </c>
      <c r="T22" s="8">
        <f t="shared" si="1"/>
        <v>0</v>
      </c>
      <c r="U22" s="8">
        <f t="shared" si="1"/>
        <v>0</v>
      </c>
      <c r="V22" s="8">
        <f t="shared" si="1"/>
        <v>0</v>
      </c>
      <c r="AA22"/>
    </row>
    <row r="23" spans="1:27" ht="12.75" customHeight="1" x14ac:dyDescent="0.25">
      <c r="A23" s="7"/>
      <c r="C23" s="99" t="s">
        <v>83</v>
      </c>
      <c r="D23" s="131">
        <v>1</v>
      </c>
      <c r="E23" s="100" t="s">
        <v>4</v>
      </c>
      <c r="F23" s="100" t="s">
        <v>0</v>
      </c>
      <c r="G23" s="101" t="s">
        <v>66</v>
      </c>
      <c r="H23" s="3"/>
      <c r="I23" s="117">
        <v>250000</v>
      </c>
      <c r="J23" s="12" t="s">
        <v>36</v>
      </c>
      <c r="K23" s="3"/>
      <c r="L23" s="104">
        <v>1</v>
      </c>
      <c r="M23" s="105"/>
      <c r="N23" s="104"/>
      <c r="O23" s="105"/>
      <c r="P23" s="104"/>
      <c r="Q23" s="3"/>
      <c r="R23" s="8">
        <f t="shared" si="1"/>
        <v>250000</v>
      </c>
      <c r="S23" s="8">
        <f t="shared" si="1"/>
        <v>0</v>
      </c>
      <c r="T23" s="8">
        <f t="shared" si="1"/>
        <v>0</v>
      </c>
      <c r="U23" s="8">
        <f t="shared" si="1"/>
        <v>0</v>
      </c>
      <c r="V23" s="8">
        <f t="shared" si="1"/>
        <v>0</v>
      </c>
      <c r="AA23"/>
    </row>
    <row r="24" spans="1:27" ht="12.75" customHeight="1" x14ac:dyDescent="0.25">
      <c r="A24" s="7"/>
      <c r="C24" s="99" t="s">
        <v>84</v>
      </c>
      <c r="D24" s="131">
        <v>0.6</v>
      </c>
      <c r="E24" s="100" t="s">
        <v>4</v>
      </c>
      <c r="F24" s="100" t="s">
        <v>0</v>
      </c>
      <c r="G24" s="101" t="s">
        <v>66</v>
      </c>
      <c r="H24" s="3"/>
      <c r="I24" s="117">
        <v>500000</v>
      </c>
      <c r="J24" s="12" t="s">
        <v>36</v>
      </c>
      <c r="K24" s="3"/>
      <c r="L24" s="104"/>
      <c r="M24" s="105"/>
      <c r="N24" s="104">
        <v>1</v>
      </c>
      <c r="O24" s="105"/>
      <c r="P24" s="104"/>
      <c r="Q24" s="3"/>
      <c r="R24" s="8">
        <f t="shared" si="1"/>
        <v>0</v>
      </c>
      <c r="S24" s="8">
        <f t="shared" si="1"/>
        <v>0</v>
      </c>
      <c r="T24" s="8">
        <f t="shared" si="1"/>
        <v>300000</v>
      </c>
      <c r="U24" s="8">
        <f t="shared" si="1"/>
        <v>0</v>
      </c>
      <c r="V24" s="8">
        <f t="shared" si="1"/>
        <v>0</v>
      </c>
      <c r="AA24"/>
    </row>
    <row r="25" spans="1:27" ht="12.75" customHeight="1" x14ac:dyDescent="0.25">
      <c r="A25" s="7"/>
      <c r="C25" s="99" t="s">
        <v>85</v>
      </c>
      <c r="D25" s="131">
        <v>0</v>
      </c>
      <c r="E25" s="100" t="s">
        <v>4</v>
      </c>
      <c r="F25" s="100" t="s">
        <v>0</v>
      </c>
      <c r="G25" s="101" t="s">
        <v>66</v>
      </c>
      <c r="H25" s="3"/>
      <c r="I25" s="117">
        <v>100000</v>
      </c>
      <c r="J25" s="12" t="s">
        <v>36</v>
      </c>
      <c r="K25" s="3"/>
      <c r="L25" s="104">
        <v>1</v>
      </c>
      <c r="M25" s="105"/>
      <c r="N25" s="104"/>
      <c r="O25" s="104">
        <v>2</v>
      </c>
      <c r="P25" s="104"/>
      <c r="Q25" s="3"/>
      <c r="R25" s="8">
        <f t="shared" si="1"/>
        <v>0</v>
      </c>
      <c r="S25" s="8">
        <f t="shared" si="1"/>
        <v>0</v>
      </c>
      <c r="T25" s="8">
        <f t="shared" si="1"/>
        <v>0</v>
      </c>
      <c r="U25" s="8">
        <f t="shared" si="1"/>
        <v>0</v>
      </c>
      <c r="V25" s="8">
        <f t="shared" si="1"/>
        <v>0</v>
      </c>
      <c r="AA25"/>
    </row>
    <row r="26" spans="1:27" ht="12.75" customHeight="1" x14ac:dyDescent="0.25">
      <c r="A26" s="7"/>
      <c r="C26" s="99" t="s">
        <v>86</v>
      </c>
      <c r="D26" s="131">
        <v>0.95</v>
      </c>
      <c r="E26" s="100" t="s">
        <v>4</v>
      </c>
      <c r="F26" s="100" t="s">
        <v>0</v>
      </c>
      <c r="G26" s="101" t="s">
        <v>87</v>
      </c>
      <c r="H26" s="3"/>
      <c r="I26" s="117">
        <v>1646000</v>
      </c>
      <c r="J26" s="12" t="s">
        <v>36</v>
      </c>
      <c r="K26" s="3"/>
      <c r="L26" s="104">
        <v>1</v>
      </c>
      <c r="M26" s="104">
        <v>1</v>
      </c>
      <c r="N26" s="104">
        <v>1</v>
      </c>
      <c r="O26" s="104">
        <v>1</v>
      </c>
      <c r="P26" s="104">
        <v>1</v>
      </c>
      <c r="Q26" s="3"/>
      <c r="R26" s="8">
        <f t="shared" si="1"/>
        <v>1563700</v>
      </c>
      <c r="S26" s="8">
        <f t="shared" si="1"/>
        <v>1563700</v>
      </c>
      <c r="T26" s="8">
        <f t="shared" si="1"/>
        <v>1563700</v>
      </c>
      <c r="U26" s="8">
        <f t="shared" si="1"/>
        <v>1563700</v>
      </c>
      <c r="V26" s="8">
        <f t="shared" si="1"/>
        <v>1563700</v>
      </c>
      <c r="AA26"/>
    </row>
    <row r="27" spans="1:27" ht="12.75" customHeight="1" x14ac:dyDescent="0.25">
      <c r="A27" s="7"/>
      <c r="C27" s="99" t="s">
        <v>88</v>
      </c>
      <c r="D27" s="131">
        <v>0.95</v>
      </c>
      <c r="E27" s="100" t="s">
        <v>4</v>
      </c>
      <c r="F27" s="100" t="s">
        <v>0</v>
      </c>
      <c r="G27" s="101" t="s">
        <v>89</v>
      </c>
      <c r="H27" s="3"/>
      <c r="I27" s="117">
        <v>53000</v>
      </c>
      <c r="J27" s="12" t="s">
        <v>36</v>
      </c>
      <c r="K27" s="3"/>
      <c r="L27" s="104">
        <v>1</v>
      </c>
      <c r="M27" s="104">
        <v>1</v>
      </c>
      <c r="N27" s="104">
        <v>1</v>
      </c>
      <c r="O27" s="104">
        <v>1</v>
      </c>
      <c r="P27" s="104">
        <v>1</v>
      </c>
      <c r="Q27" s="3"/>
      <c r="R27" s="8">
        <f t="shared" si="1"/>
        <v>50350</v>
      </c>
      <c r="S27" s="8">
        <f t="shared" si="1"/>
        <v>50350</v>
      </c>
      <c r="T27" s="8">
        <f t="shared" si="1"/>
        <v>50350</v>
      </c>
      <c r="U27" s="8">
        <f t="shared" si="1"/>
        <v>50350</v>
      </c>
      <c r="V27" s="8">
        <f t="shared" si="1"/>
        <v>50350</v>
      </c>
      <c r="AA27"/>
    </row>
    <row r="28" spans="1:27" ht="12.75" customHeight="1" x14ac:dyDescent="0.25">
      <c r="A28" s="7" t="str">
        <f>IF(ISBLANK(B28),"",1+MAX(A$6:A20))</f>
        <v/>
      </c>
      <c r="C28" s="99" t="s">
        <v>90</v>
      </c>
      <c r="D28" s="131">
        <v>0.95</v>
      </c>
      <c r="E28" s="100" t="s">
        <v>4</v>
      </c>
      <c r="F28" s="100" t="s">
        <v>0</v>
      </c>
      <c r="G28" s="101" t="s">
        <v>70</v>
      </c>
      <c r="H28" s="3"/>
      <c r="I28" s="117">
        <v>1521400</v>
      </c>
      <c r="J28" s="12" t="s">
        <v>36</v>
      </c>
      <c r="K28" s="3"/>
      <c r="L28" s="104">
        <v>1</v>
      </c>
      <c r="M28" s="104">
        <v>1</v>
      </c>
      <c r="N28" s="104">
        <v>1</v>
      </c>
      <c r="O28" s="104">
        <v>1</v>
      </c>
      <c r="P28" s="104">
        <v>1</v>
      </c>
      <c r="Q28" s="3"/>
      <c r="R28" s="8">
        <f t="shared" si="1"/>
        <v>1445330</v>
      </c>
      <c r="S28" s="8">
        <f t="shared" si="1"/>
        <v>1445330</v>
      </c>
      <c r="T28" s="8">
        <f t="shared" si="1"/>
        <v>1445330</v>
      </c>
      <c r="U28" s="8">
        <f t="shared" si="1"/>
        <v>1445330</v>
      </c>
      <c r="V28" s="8">
        <f t="shared" si="1"/>
        <v>1445330</v>
      </c>
      <c r="AA28"/>
    </row>
    <row r="29" spans="1:2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AA29"/>
    </row>
    <row r="30" spans="1:27" ht="12.75" customHeight="1" x14ac:dyDescent="0.2">
      <c r="A30" s="7" t="str">
        <f>IF(ISBLANK(B30),"",1+MAX(A$6:A29))</f>
        <v/>
      </c>
      <c r="C30" s="99" t="s">
        <v>80</v>
      </c>
      <c r="D30" s="131">
        <v>0</v>
      </c>
      <c r="E30" s="100" t="s">
        <v>4</v>
      </c>
      <c r="F30" s="100" t="s">
        <v>3</v>
      </c>
      <c r="G30" s="101" t="s">
        <v>66</v>
      </c>
      <c r="I30" s="6"/>
      <c r="J30" s="13" t="s">
        <v>37</v>
      </c>
      <c r="L30" s="103">
        <v>0</v>
      </c>
      <c r="M30" s="103">
        <v>250000</v>
      </c>
      <c r="N30" s="103">
        <v>0</v>
      </c>
      <c r="O30" s="103">
        <v>500000</v>
      </c>
      <c r="P30" s="103">
        <v>0</v>
      </c>
      <c r="R30" s="8">
        <f>L30*$D30</f>
        <v>0</v>
      </c>
      <c r="S30" s="8">
        <f t="shared" ref="S30:V40" si="2">M30*$D30</f>
        <v>0</v>
      </c>
      <c r="T30" s="8">
        <f t="shared" si="2"/>
        <v>0</v>
      </c>
      <c r="U30" s="8">
        <f t="shared" si="2"/>
        <v>0</v>
      </c>
      <c r="V30" s="8">
        <f t="shared" si="2"/>
        <v>0</v>
      </c>
    </row>
    <row r="31" spans="1:27" ht="12.75" customHeight="1" x14ac:dyDescent="0.2">
      <c r="A31" s="7"/>
      <c r="C31" s="99" t="s">
        <v>82</v>
      </c>
      <c r="D31" s="131">
        <v>0.6</v>
      </c>
      <c r="E31" s="100" t="s">
        <v>4</v>
      </c>
      <c r="F31" s="100" t="s">
        <v>3</v>
      </c>
      <c r="G31" s="101" t="s">
        <v>66</v>
      </c>
      <c r="I31" s="6"/>
      <c r="J31" s="13" t="s">
        <v>37</v>
      </c>
      <c r="L31" s="103">
        <v>200000</v>
      </c>
      <c r="M31" s="103">
        <v>0</v>
      </c>
      <c r="N31" s="103">
        <v>0</v>
      </c>
      <c r="O31" s="103">
        <v>0</v>
      </c>
      <c r="P31" s="103">
        <v>0</v>
      </c>
      <c r="R31" s="8">
        <f t="shared" ref="R31:R40" si="3">L31*$D31</f>
        <v>120000</v>
      </c>
      <c r="S31" s="8">
        <f t="shared" si="2"/>
        <v>0</v>
      </c>
      <c r="T31" s="8">
        <f t="shared" si="2"/>
        <v>0</v>
      </c>
      <c r="U31" s="8">
        <f t="shared" si="2"/>
        <v>0</v>
      </c>
      <c r="V31" s="8">
        <f t="shared" si="2"/>
        <v>0</v>
      </c>
    </row>
    <row r="32" spans="1:27" ht="12.75" customHeight="1" x14ac:dyDescent="0.2">
      <c r="A32" s="7"/>
      <c r="C32" s="99" t="s">
        <v>84</v>
      </c>
      <c r="D32" s="131">
        <v>0.6</v>
      </c>
      <c r="E32" s="100" t="s">
        <v>4</v>
      </c>
      <c r="F32" s="100" t="s">
        <v>3</v>
      </c>
      <c r="G32" s="101" t="s">
        <v>66</v>
      </c>
      <c r="I32" s="6"/>
      <c r="J32" s="13" t="s">
        <v>37</v>
      </c>
      <c r="L32" s="103">
        <v>0</v>
      </c>
      <c r="M32" s="103">
        <v>0</v>
      </c>
      <c r="N32" s="103">
        <v>200000</v>
      </c>
      <c r="O32" s="103">
        <v>0</v>
      </c>
      <c r="P32" s="103">
        <v>0</v>
      </c>
      <c r="R32" s="8">
        <f t="shared" si="3"/>
        <v>0</v>
      </c>
      <c r="S32" s="8">
        <f t="shared" si="2"/>
        <v>0</v>
      </c>
      <c r="T32" s="8">
        <f t="shared" si="2"/>
        <v>120000</v>
      </c>
      <c r="U32" s="8">
        <f t="shared" si="2"/>
        <v>0</v>
      </c>
      <c r="V32" s="8">
        <f t="shared" si="2"/>
        <v>0</v>
      </c>
    </row>
    <row r="33" spans="1:27" ht="12.75" customHeight="1" x14ac:dyDescent="0.2">
      <c r="A33" s="7"/>
      <c r="C33" s="99" t="s">
        <v>85</v>
      </c>
      <c r="D33" s="131">
        <v>0</v>
      </c>
      <c r="E33" s="100" t="s">
        <v>4</v>
      </c>
      <c r="F33" s="100" t="s">
        <v>3</v>
      </c>
      <c r="G33" s="101" t="s">
        <v>66</v>
      </c>
      <c r="I33" s="6"/>
      <c r="J33" s="13" t="s">
        <v>37</v>
      </c>
      <c r="L33" s="103">
        <v>50000</v>
      </c>
      <c r="M33" s="103">
        <v>0</v>
      </c>
      <c r="N33" s="103">
        <v>0</v>
      </c>
      <c r="O33" s="103">
        <v>100000</v>
      </c>
      <c r="P33" s="103">
        <v>0</v>
      </c>
      <c r="R33" s="8">
        <f t="shared" si="3"/>
        <v>0</v>
      </c>
      <c r="S33" s="8">
        <f t="shared" si="2"/>
        <v>0</v>
      </c>
      <c r="T33" s="8">
        <f t="shared" si="2"/>
        <v>0</v>
      </c>
      <c r="U33" s="8">
        <f t="shared" si="2"/>
        <v>0</v>
      </c>
      <c r="V33" s="8">
        <f t="shared" si="2"/>
        <v>0</v>
      </c>
    </row>
    <row r="34" spans="1:27" ht="12.75" customHeight="1" x14ac:dyDescent="0.2">
      <c r="A34" s="7"/>
      <c r="C34" s="99"/>
      <c r="D34" s="100"/>
      <c r="E34" s="100"/>
      <c r="F34" s="100"/>
      <c r="G34" s="101"/>
      <c r="I34" s="6"/>
      <c r="J34" s="13" t="s">
        <v>37</v>
      </c>
      <c r="L34" s="103"/>
      <c r="M34" s="103"/>
      <c r="N34" s="103"/>
      <c r="O34" s="103"/>
      <c r="P34" s="103"/>
      <c r="R34" s="8">
        <f t="shared" si="3"/>
        <v>0</v>
      </c>
      <c r="S34" s="8">
        <f t="shared" si="2"/>
        <v>0</v>
      </c>
      <c r="T34" s="8">
        <f t="shared" si="2"/>
        <v>0</v>
      </c>
      <c r="U34" s="8">
        <f t="shared" si="2"/>
        <v>0</v>
      </c>
      <c r="V34" s="8">
        <f t="shared" si="2"/>
        <v>0</v>
      </c>
    </row>
    <row r="35" spans="1:27" ht="12.75" customHeight="1" x14ac:dyDescent="0.2">
      <c r="A35" s="7"/>
      <c r="C35" s="99"/>
      <c r="D35" s="100"/>
      <c r="E35" s="100"/>
      <c r="F35" s="100"/>
      <c r="G35" s="101"/>
      <c r="I35" s="6"/>
      <c r="J35" s="13" t="s">
        <v>37</v>
      </c>
      <c r="L35" s="103"/>
      <c r="M35" s="103"/>
      <c r="N35" s="103"/>
      <c r="O35" s="103"/>
      <c r="P35" s="103"/>
      <c r="R35" s="8">
        <f t="shared" si="3"/>
        <v>0</v>
      </c>
      <c r="S35" s="8">
        <f t="shared" si="2"/>
        <v>0</v>
      </c>
      <c r="T35" s="8">
        <f t="shared" si="2"/>
        <v>0</v>
      </c>
      <c r="U35" s="8">
        <f t="shared" si="2"/>
        <v>0</v>
      </c>
      <c r="V35" s="8">
        <f t="shared" si="2"/>
        <v>0</v>
      </c>
    </row>
    <row r="36" spans="1:27" ht="12.75" customHeight="1" x14ac:dyDescent="0.2">
      <c r="A36" s="7"/>
      <c r="C36" s="99"/>
      <c r="D36" s="100"/>
      <c r="E36" s="100"/>
      <c r="F36" s="100"/>
      <c r="G36" s="101"/>
      <c r="I36" s="6"/>
      <c r="J36" s="13" t="s">
        <v>37</v>
      </c>
      <c r="L36" s="103"/>
      <c r="M36" s="103"/>
      <c r="N36" s="103"/>
      <c r="O36" s="103"/>
      <c r="P36" s="103"/>
      <c r="R36" s="8">
        <f t="shared" si="3"/>
        <v>0</v>
      </c>
      <c r="S36" s="8">
        <f t="shared" si="2"/>
        <v>0</v>
      </c>
      <c r="T36" s="8">
        <f t="shared" si="2"/>
        <v>0</v>
      </c>
      <c r="U36" s="8">
        <f t="shared" si="2"/>
        <v>0</v>
      </c>
      <c r="V36" s="8">
        <f t="shared" si="2"/>
        <v>0</v>
      </c>
    </row>
    <row r="37" spans="1:27" ht="12.75" customHeight="1" x14ac:dyDescent="0.2">
      <c r="A37" s="7"/>
      <c r="C37" s="99"/>
      <c r="D37" s="100"/>
      <c r="E37" s="100"/>
      <c r="F37" s="100"/>
      <c r="G37" s="101"/>
      <c r="I37" s="6"/>
      <c r="J37" s="13" t="s">
        <v>37</v>
      </c>
      <c r="L37" s="103"/>
      <c r="M37" s="103"/>
      <c r="N37" s="103"/>
      <c r="O37" s="103"/>
      <c r="P37" s="103"/>
      <c r="R37" s="8">
        <f t="shared" si="3"/>
        <v>0</v>
      </c>
      <c r="S37" s="8">
        <f t="shared" si="2"/>
        <v>0</v>
      </c>
      <c r="T37" s="8">
        <f t="shared" si="2"/>
        <v>0</v>
      </c>
      <c r="U37" s="8">
        <f t="shared" si="2"/>
        <v>0</v>
      </c>
      <c r="V37" s="8">
        <f t="shared" si="2"/>
        <v>0</v>
      </c>
    </row>
    <row r="38" spans="1:27" ht="12.75" customHeight="1" x14ac:dyDescent="0.2">
      <c r="A38" s="7"/>
      <c r="C38" s="99"/>
      <c r="D38" s="100"/>
      <c r="E38" s="100"/>
      <c r="F38" s="100"/>
      <c r="G38" s="101"/>
      <c r="I38" s="6"/>
      <c r="J38" s="13" t="s">
        <v>37</v>
      </c>
      <c r="L38" s="103"/>
      <c r="M38" s="103"/>
      <c r="N38" s="103"/>
      <c r="O38" s="103"/>
      <c r="P38" s="103"/>
      <c r="R38" s="8">
        <f t="shared" si="3"/>
        <v>0</v>
      </c>
      <c r="S38" s="8">
        <f t="shared" si="2"/>
        <v>0</v>
      </c>
      <c r="T38" s="8">
        <f t="shared" si="2"/>
        <v>0</v>
      </c>
      <c r="U38" s="8">
        <f t="shared" si="2"/>
        <v>0</v>
      </c>
      <c r="V38" s="8">
        <f t="shared" si="2"/>
        <v>0</v>
      </c>
    </row>
    <row r="39" spans="1:27" ht="12.75" customHeight="1" x14ac:dyDescent="0.2">
      <c r="A39" s="7"/>
      <c r="C39" s="99"/>
      <c r="D39" s="100"/>
      <c r="E39" s="100"/>
      <c r="F39" s="100"/>
      <c r="G39" s="101"/>
      <c r="I39" s="6"/>
      <c r="J39" s="13" t="s">
        <v>37</v>
      </c>
      <c r="L39" s="103"/>
      <c r="M39" s="103"/>
      <c r="N39" s="103"/>
      <c r="O39" s="103"/>
      <c r="P39" s="103"/>
      <c r="R39" s="8">
        <f t="shared" si="3"/>
        <v>0</v>
      </c>
      <c r="S39" s="8">
        <f t="shared" si="2"/>
        <v>0</v>
      </c>
      <c r="T39" s="8">
        <f t="shared" si="2"/>
        <v>0</v>
      </c>
      <c r="U39" s="8">
        <f t="shared" si="2"/>
        <v>0</v>
      </c>
      <c r="V39" s="8">
        <f t="shared" si="2"/>
        <v>0</v>
      </c>
    </row>
    <row r="40" spans="1:27" ht="12.75" customHeight="1" x14ac:dyDescent="0.2">
      <c r="A40" s="7"/>
      <c r="C40" s="99"/>
      <c r="D40" s="100"/>
      <c r="E40" s="100"/>
      <c r="F40" s="100"/>
      <c r="G40" s="101"/>
      <c r="I40" s="6"/>
      <c r="J40" s="13" t="s">
        <v>37</v>
      </c>
      <c r="L40" s="103"/>
      <c r="M40" s="103"/>
      <c r="N40" s="103"/>
      <c r="O40" s="103"/>
      <c r="P40" s="103"/>
      <c r="R40" s="8">
        <f t="shared" si="3"/>
        <v>0</v>
      </c>
      <c r="S40" s="8">
        <f t="shared" si="2"/>
        <v>0</v>
      </c>
      <c r="T40" s="8">
        <f t="shared" si="2"/>
        <v>0</v>
      </c>
      <c r="U40" s="8">
        <f t="shared" si="2"/>
        <v>0</v>
      </c>
      <c r="V40" s="8">
        <f t="shared" si="2"/>
        <v>0</v>
      </c>
    </row>
    <row r="41" spans="1:27" ht="12.75" customHeight="1" x14ac:dyDescent="0.25">
      <c r="AA41"/>
    </row>
    <row r="42" spans="1:27" ht="12.75" customHeight="1" x14ac:dyDescent="0.25">
      <c r="AA42"/>
    </row>
    <row r="43" spans="1:27" ht="12.75" customHeight="1" x14ac:dyDescent="0.25">
      <c r="C43" s="5" t="s">
        <v>12</v>
      </c>
      <c r="D43" s="7"/>
      <c r="AA43"/>
    </row>
    <row r="44" spans="1:27" ht="12.75" customHeight="1" x14ac:dyDescent="0.2">
      <c r="C44" s="27" t="s">
        <v>1</v>
      </c>
      <c r="D44" s="27"/>
      <c r="E44" s="27" t="s">
        <v>4</v>
      </c>
      <c r="F44" s="27"/>
      <c r="G44" s="27" t="s">
        <v>66</v>
      </c>
      <c r="H44" s="27"/>
      <c r="I44" s="27"/>
      <c r="J44" s="28"/>
      <c r="L44" s="27"/>
      <c r="M44" s="27"/>
      <c r="N44" s="27"/>
      <c r="O44" s="27"/>
      <c r="P44" s="27"/>
      <c r="R44" s="29">
        <f>SUMIFS(R$10:R$40,$F$10:$F$40,$C44,$E$10:$E$40,$E44,$G$10:$G$40,$G44)</f>
        <v>580000</v>
      </c>
      <c r="S44" s="29">
        <f t="shared" ref="S44:V55" si="4">SUMIFS(S$10:S$40,$F$10:$F$40,$C44,$E$10:$E$40,$E44,$G$10:$G$40,$G44)</f>
        <v>360000</v>
      </c>
      <c r="T44" s="29">
        <f t="shared" si="4"/>
        <v>450000</v>
      </c>
      <c r="U44" s="29">
        <f t="shared" si="4"/>
        <v>0</v>
      </c>
      <c r="V44" s="29">
        <f t="shared" si="4"/>
        <v>0</v>
      </c>
    </row>
    <row r="45" spans="1:27" ht="12.75" customHeight="1" x14ac:dyDescent="0.2">
      <c r="C45" s="4" t="s">
        <v>1</v>
      </c>
      <c r="D45" s="4"/>
      <c r="E45" s="4" t="s">
        <v>4</v>
      </c>
      <c r="F45" s="4"/>
      <c r="G45" s="4" t="s">
        <v>87</v>
      </c>
      <c r="H45" s="4"/>
      <c r="I45" s="4"/>
      <c r="J45" s="13"/>
      <c r="L45" s="4"/>
      <c r="M45" s="4"/>
      <c r="N45" s="4"/>
      <c r="O45" s="4"/>
      <c r="P45" s="4"/>
      <c r="R45" s="9">
        <f t="shared" ref="R45:R55" si="5">SUMIFS(R$10:R$40,$F$10:$F$40,$C45,$E$10:$E$40,$E45,$G$10:$G$40,$G45)</f>
        <v>1308150</v>
      </c>
      <c r="S45" s="9">
        <f t="shared" si="4"/>
        <v>1308150</v>
      </c>
      <c r="T45" s="9">
        <f t="shared" si="4"/>
        <v>1308150</v>
      </c>
      <c r="U45" s="9">
        <f t="shared" si="4"/>
        <v>1308150</v>
      </c>
      <c r="V45" s="9">
        <f t="shared" si="4"/>
        <v>1308150</v>
      </c>
    </row>
    <row r="46" spans="1:27" ht="12.75" customHeight="1" x14ac:dyDescent="0.2">
      <c r="C46" s="4" t="s">
        <v>1</v>
      </c>
      <c r="D46" s="4"/>
      <c r="E46" s="4" t="s">
        <v>4</v>
      </c>
      <c r="F46" s="4"/>
      <c r="G46" s="4" t="s">
        <v>89</v>
      </c>
      <c r="H46" s="4"/>
      <c r="I46" s="4"/>
      <c r="J46" s="13"/>
      <c r="L46" s="4"/>
      <c r="M46" s="4"/>
      <c r="N46" s="4"/>
      <c r="O46" s="4"/>
      <c r="P46" s="4"/>
      <c r="R46" s="9">
        <f t="shared" si="5"/>
        <v>104500</v>
      </c>
      <c r="S46" s="9">
        <f t="shared" si="4"/>
        <v>104500</v>
      </c>
      <c r="T46" s="9">
        <f t="shared" si="4"/>
        <v>104500</v>
      </c>
      <c r="U46" s="9">
        <f t="shared" si="4"/>
        <v>104500</v>
      </c>
      <c r="V46" s="9">
        <f t="shared" si="4"/>
        <v>104500</v>
      </c>
    </row>
    <row r="47" spans="1:27" ht="12.75" customHeight="1" x14ac:dyDescent="0.2">
      <c r="C47" s="4" t="s">
        <v>1</v>
      </c>
      <c r="D47" s="4"/>
      <c r="E47" s="4" t="s">
        <v>4</v>
      </c>
      <c r="F47" s="4"/>
      <c r="G47" s="4" t="s">
        <v>70</v>
      </c>
      <c r="H47" s="4"/>
      <c r="I47" s="4"/>
      <c r="J47" s="13"/>
      <c r="L47" s="4"/>
      <c r="M47" s="4"/>
      <c r="N47" s="4"/>
      <c r="O47" s="4"/>
      <c r="P47" s="4"/>
      <c r="R47" s="9">
        <f t="shared" si="5"/>
        <v>1352040</v>
      </c>
      <c r="S47" s="9">
        <f t="shared" si="4"/>
        <v>1352040</v>
      </c>
      <c r="T47" s="9">
        <f t="shared" si="4"/>
        <v>1352040</v>
      </c>
      <c r="U47" s="9">
        <f t="shared" si="4"/>
        <v>1352040</v>
      </c>
      <c r="V47" s="9">
        <f t="shared" si="4"/>
        <v>1352040</v>
      </c>
    </row>
    <row r="48" spans="1:27" ht="12.75" customHeight="1" x14ac:dyDescent="0.2">
      <c r="C48" s="4" t="s">
        <v>0</v>
      </c>
      <c r="D48" s="4"/>
      <c r="E48" s="4" t="s">
        <v>4</v>
      </c>
      <c r="F48" s="4"/>
      <c r="G48" s="4" t="s">
        <v>66</v>
      </c>
      <c r="H48" s="4"/>
      <c r="I48" s="4"/>
      <c r="J48" s="13"/>
      <c r="L48" s="4"/>
      <c r="M48" s="4"/>
      <c r="N48" s="4"/>
      <c r="O48" s="4"/>
      <c r="P48" s="4"/>
      <c r="R48" s="9">
        <f t="shared" si="5"/>
        <v>4390000</v>
      </c>
      <c r="S48" s="9">
        <f t="shared" si="4"/>
        <v>1980000</v>
      </c>
      <c r="T48" s="9">
        <f t="shared" si="4"/>
        <v>300000</v>
      </c>
      <c r="U48" s="9">
        <f t="shared" si="4"/>
        <v>0</v>
      </c>
      <c r="V48" s="9">
        <f t="shared" si="4"/>
        <v>0</v>
      </c>
    </row>
    <row r="49" spans="3:24" ht="12.75" customHeight="1" x14ac:dyDescent="0.2">
      <c r="C49" s="4" t="s">
        <v>0</v>
      </c>
      <c r="D49" s="4"/>
      <c r="E49" s="4" t="s">
        <v>4</v>
      </c>
      <c r="F49" s="4"/>
      <c r="G49" s="4" t="s">
        <v>87</v>
      </c>
      <c r="H49" s="4"/>
      <c r="I49" s="4"/>
      <c r="J49" s="13"/>
      <c r="L49" s="4"/>
      <c r="M49" s="4"/>
      <c r="N49" s="4"/>
      <c r="O49" s="4"/>
      <c r="P49" s="4"/>
      <c r="R49" s="9">
        <f t="shared" si="5"/>
        <v>1563700</v>
      </c>
      <c r="S49" s="9">
        <f t="shared" si="4"/>
        <v>1563700</v>
      </c>
      <c r="T49" s="9">
        <f t="shared" si="4"/>
        <v>1563700</v>
      </c>
      <c r="U49" s="9">
        <f t="shared" si="4"/>
        <v>1563700</v>
      </c>
      <c r="V49" s="9">
        <f t="shared" si="4"/>
        <v>1563700</v>
      </c>
    </row>
    <row r="50" spans="3:24" ht="12.75" customHeight="1" x14ac:dyDescent="0.2">
      <c r="C50" s="4" t="s">
        <v>0</v>
      </c>
      <c r="D50" s="4"/>
      <c r="E50" s="4" t="s">
        <v>4</v>
      </c>
      <c r="F50" s="4"/>
      <c r="G50" s="4" t="s">
        <v>89</v>
      </c>
      <c r="H50" s="4"/>
      <c r="I50" s="4"/>
      <c r="J50" s="13"/>
      <c r="L50" s="4"/>
      <c r="M50" s="4"/>
      <c r="N50" s="4"/>
      <c r="O50" s="4"/>
      <c r="P50" s="4"/>
      <c r="R50" s="9">
        <f t="shared" si="5"/>
        <v>50350</v>
      </c>
      <c r="S50" s="9">
        <f t="shared" si="4"/>
        <v>50350</v>
      </c>
      <c r="T50" s="9">
        <f t="shared" si="4"/>
        <v>50350</v>
      </c>
      <c r="U50" s="9">
        <f t="shared" si="4"/>
        <v>50350</v>
      </c>
      <c r="V50" s="9">
        <f t="shared" si="4"/>
        <v>50350</v>
      </c>
    </row>
    <row r="51" spans="3:24" ht="12.75" customHeight="1" x14ac:dyDescent="0.2">
      <c r="C51" s="4" t="s">
        <v>0</v>
      </c>
      <c r="D51" s="4"/>
      <c r="E51" s="4" t="s">
        <v>4</v>
      </c>
      <c r="F51" s="4"/>
      <c r="G51" s="4" t="s">
        <v>70</v>
      </c>
      <c r="H51" s="4"/>
      <c r="I51" s="4"/>
      <c r="J51" s="13"/>
      <c r="L51" s="4"/>
      <c r="M51" s="4"/>
      <c r="N51" s="4"/>
      <c r="O51" s="4"/>
      <c r="P51" s="4"/>
      <c r="R51" s="9">
        <f t="shared" si="5"/>
        <v>1445330</v>
      </c>
      <c r="S51" s="9">
        <f t="shared" si="4"/>
        <v>1445330</v>
      </c>
      <c r="T51" s="9">
        <f t="shared" si="4"/>
        <v>1445330</v>
      </c>
      <c r="U51" s="9">
        <f t="shared" si="4"/>
        <v>1445330</v>
      </c>
      <c r="V51" s="9">
        <f t="shared" si="4"/>
        <v>1445330</v>
      </c>
    </row>
    <row r="52" spans="3:24" ht="12.75" customHeight="1" x14ac:dyDescent="0.2">
      <c r="C52" s="4" t="s">
        <v>3</v>
      </c>
      <c r="D52" s="4"/>
      <c r="E52" s="4" t="s">
        <v>4</v>
      </c>
      <c r="F52" s="4"/>
      <c r="G52" s="4" t="s">
        <v>66</v>
      </c>
      <c r="H52" s="4"/>
      <c r="I52" s="4"/>
      <c r="J52" s="13"/>
      <c r="L52" s="4"/>
      <c r="M52" s="4"/>
      <c r="N52" s="4"/>
      <c r="O52" s="4"/>
      <c r="P52" s="4"/>
      <c r="R52" s="9">
        <f t="shared" si="5"/>
        <v>120000</v>
      </c>
      <c r="S52" s="9">
        <f t="shared" si="4"/>
        <v>0</v>
      </c>
      <c r="T52" s="9">
        <f t="shared" si="4"/>
        <v>120000</v>
      </c>
      <c r="U52" s="9">
        <f t="shared" si="4"/>
        <v>0</v>
      </c>
      <c r="V52" s="9">
        <f t="shared" si="4"/>
        <v>0</v>
      </c>
    </row>
    <row r="53" spans="3:24" ht="12.75" customHeight="1" x14ac:dyDescent="0.2">
      <c r="C53" s="4" t="s">
        <v>3</v>
      </c>
      <c r="D53" s="4"/>
      <c r="E53" s="4" t="s">
        <v>4</v>
      </c>
      <c r="F53" s="4"/>
      <c r="G53" s="4" t="s">
        <v>87</v>
      </c>
      <c r="H53" s="4"/>
      <c r="I53" s="4"/>
      <c r="J53" s="13"/>
      <c r="L53" s="4"/>
      <c r="M53" s="4"/>
      <c r="N53" s="4"/>
      <c r="O53" s="4"/>
      <c r="P53" s="4"/>
      <c r="R53" s="9">
        <f t="shared" si="5"/>
        <v>0</v>
      </c>
      <c r="S53" s="9">
        <f t="shared" si="4"/>
        <v>0</v>
      </c>
      <c r="T53" s="9">
        <f t="shared" si="4"/>
        <v>0</v>
      </c>
      <c r="U53" s="9">
        <f t="shared" si="4"/>
        <v>0</v>
      </c>
      <c r="V53" s="9">
        <f t="shared" si="4"/>
        <v>0</v>
      </c>
    </row>
    <row r="54" spans="3:24" ht="12.75" customHeight="1" x14ac:dyDescent="0.2">
      <c r="C54" s="4" t="s">
        <v>3</v>
      </c>
      <c r="D54" s="4"/>
      <c r="E54" s="4" t="s">
        <v>4</v>
      </c>
      <c r="F54" s="4"/>
      <c r="G54" s="4" t="s">
        <v>89</v>
      </c>
      <c r="H54" s="4"/>
      <c r="I54" s="4"/>
      <c r="J54" s="13"/>
      <c r="L54" s="4"/>
      <c r="M54" s="4"/>
      <c r="N54" s="4"/>
      <c r="O54" s="4"/>
      <c r="P54" s="4"/>
      <c r="R54" s="9">
        <f t="shared" si="5"/>
        <v>0</v>
      </c>
      <c r="S54" s="9">
        <f t="shared" si="4"/>
        <v>0</v>
      </c>
      <c r="T54" s="9">
        <f t="shared" si="4"/>
        <v>0</v>
      </c>
      <c r="U54" s="9">
        <f t="shared" si="4"/>
        <v>0</v>
      </c>
      <c r="V54" s="9">
        <f t="shared" si="4"/>
        <v>0</v>
      </c>
    </row>
    <row r="55" spans="3:24" ht="12.75" customHeight="1" x14ac:dyDescent="0.2">
      <c r="C55" s="4" t="s">
        <v>3</v>
      </c>
      <c r="D55" s="4"/>
      <c r="E55" s="4" t="s">
        <v>4</v>
      </c>
      <c r="F55" s="7"/>
      <c r="G55" s="4" t="s">
        <v>70</v>
      </c>
      <c r="H55" s="7"/>
      <c r="I55" s="7"/>
      <c r="J55" s="30"/>
      <c r="L55" s="7"/>
      <c r="M55" s="7"/>
      <c r="N55" s="7"/>
      <c r="O55" s="7"/>
      <c r="P55" s="7"/>
      <c r="R55" s="9">
        <f t="shared" si="5"/>
        <v>0</v>
      </c>
      <c r="S55" s="9">
        <f t="shared" si="4"/>
        <v>0</v>
      </c>
      <c r="T55" s="9">
        <f t="shared" si="4"/>
        <v>0</v>
      </c>
      <c r="U55" s="9">
        <f t="shared" si="4"/>
        <v>0</v>
      </c>
      <c r="V55" s="9">
        <f t="shared" si="4"/>
        <v>0</v>
      </c>
    </row>
    <row r="56" spans="3:24" ht="12.75" customHeight="1" x14ac:dyDescent="0.2">
      <c r="C56" s="10" t="s">
        <v>112</v>
      </c>
      <c r="D56" s="10"/>
      <c r="E56" s="10"/>
      <c r="F56" s="10"/>
      <c r="G56" s="10"/>
      <c r="H56" s="10"/>
      <c r="I56" s="10"/>
      <c r="J56" s="14"/>
      <c r="L56" s="10"/>
      <c r="M56" s="10"/>
      <c r="N56" s="10"/>
      <c r="O56" s="10"/>
      <c r="P56" s="10"/>
      <c r="R56" s="11">
        <f>SUM(R44:R55)</f>
        <v>10914070</v>
      </c>
      <c r="S56" s="11">
        <f t="shared" ref="S56:V56" si="6">SUM(S44:S55)</f>
        <v>8164070</v>
      </c>
      <c r="T56" s="11">
        <f t="shared" si="6"/>
        <v>6694070</v>
      </c>
      <c r="U56" s="11">
        <f t="shared" si="6"/>
        <v>5824070</v>
      </c>
      <c r="V56" s="11">
        <f t="shared" si="6"/>
        <v>5824070</v>
      </c>
      <c r="W56" s="39"/>
    </row>
    <row r="57" spans="3:24" ht="12.75" customHeight="1" x14ac:dyDescent="0.2">
      <c r="C57" s="27" t="s">
        <v>113</v>
      </c>
      <c r="D57" s="27"/>
      <c r="E57" s="27"/>
      <c r="F57" s="27"/>
      <c r="G57" s="27"/>
      <c r="H57" s="27"/>
      <c r="I57" s="27"/>
      <c r="J57" s="28"/>
      <c r="L57" s="27"/>
      <c r="M57" s="27"/>
      <c r="N57" s="27"/>
      <c r="O57" s="27"/>
      <c r="P57" s="27"/>
      <c r="R57" s="40">
        <v>11558471.738467522</v>
      </c>
      <c r="S57" s="40">
        <v>8646102.9080691747</v>
      </c>
      <c r="T57" s="40">
        <v>7089309.3878198769</v>
      </c>
      <c r="U57" s="40">
        <v>6167941.7942029452</v>
      </c>
      <c r="V57" s="40">
        <v>6167941.7942029452</v>
      </c>
      <c r="W57" s="39"/>
    </row>
    <row r="58" spans="3:24" x14ac:dyDescent="0.2">
      <c r="C58" s="92" t="s">
        <v>11</v>
      </c>
      <c r="D58" s="92"/>
      <c r="E58" s="92"/>
      <c r="F58" s="92"/>
      <c r="G58" s="92"/>
      <c r="H58" s="92"/>
      <c r="I58" s="92"/>
      <c r="J58" s="92"/>
      <c r="L58" s="92"/>
      <c r="M58" s="92"/>
      <c r="N58" s="92"/>
      <c r="O58" s="92"/>
      <c r="P58" s="92"/>
      <c r="R58" s="93">
        <f>R56-SUM(R10:R40)</f>
        <v>0</v>
      </c>
      <c r="S58" s="93">
        <f>S56-SUM(S10:S40)</f>
        <v>0</v>
      </c>
      <c r="T58" s="93">
        <f>T56-SUM(T10:T40)</f>
        <v>0</v>
      </c>
      <c r="U58" s="93">
        <f>U56-SUM(U10:U40)</f>
        <v>0</v>
      </c>
      <c r="V58" s="93">
        <f>V56-SUM(V10:V40)</f>
        <v>0</v>
      </c>
      <c r="X58" s="93">
        <f>SUM(R58:V58)</f>
        <v>0</v>
      </c>
    </row>
    <row r="59" spans="3:24" ht="12.75" customHeight="1" x14ac:dyDescent="0.2"/>
    <row r="60" spans="3:24" ht="12.75" customHeight="1" x14ac:dyDescent="0.2">
      <c r="F60" s="38"/>
      <c r="G60" s="38"/>
    </row>
    <row r="61" spans="3:24" ht="12.75" customHeight="1" x14ac:dyDescent="0.2"/>
    <row r="62" spans="3:24" ht="12.75" customHeight="1" x14ac:dyDescent="0.2">
      <c r="D62" s="4"/>
      <c r="E62" s="4"/>
      <c r="F62" s="4"/>
      <c r="G62" s="4"/>
      <c r="H62" s="4"/>
      <c r="I62" s="4"/>
      <c r="J62" s="13"/>
    </row>
    <row r="63" spans="3:24" ht="12.75" customHeight="1" x14ac:dyDescent="0.2">
      <c r="C63" s="5" t="s">
        <v>91</v>
      </c>
      <c r="D63" s="5"/>
      <c r="E63" s="133"/>
      <c r="F63" s="133"/>
      <c r="G63" s="133"/>
      <c r="H63" s="133"/>
      <c r="I63" s="133"/>
      <c r="J63" s="134"/>
      <c r="L63" s="133"/>
      <c r="M63" s="133"/>
      <c r="N63" s="133"/>
      <c r="O63" s="133"/>
      <c r="P63" s="133"/>
      <c r="R63" s="133"/>
      <c r="S63" s="133"/>
      <c r="T63" s="133"/>
      <c r="U63" s="133"/>
      <c r="V63" s="133"/>
    </row>
    <row r="64" spans="3:24" ht="12.75" customHeight="1" x14ac:dyDescent="0.2">
      <c r="C64" s="91" t="s">
        <v>1</v>
      </c>
      <c r="D64" s="91" t="s">
        <v>92</v>
      </c>
      <c r="E64" s="91" t="s">
        <v>93</v>
      </c>
      <c r="F64" s="135" t="str">
        <f t="shared" ref="F64:F66" si="7">C64&amp;D64</f>
        <v>LabourCP</v>
      </c>
      <c r="R64" s="136">
        <v>836881.66499566659</v>
      </c>
      <c r="S64" s="136">
        <v>766984.81306610629</v>
      </c>
      <c r="T64" s="136">
        <v>795578.9797645628</v>
      </c>
      <c r="U64" s="136">
        <v>652608.14627228025</v>
      </c>
      <c r="V64" s="136">
        <v>652608.14627228025</v>
      </c>
    </row>
    <row r="65" spans="3:24" ht="12.75" customHeight="1" x14ac:dyDescent="0.2">
      <c r="C65" s="91" t="s">
        <v>0</v>
      </c>
      <c r="D65" s="91" t="s">
        <v>92</v>
      </c>
      <c r="E65" s="91" t="s">
        <v>93</v>
      </c>
      <c r="F65" s="135" t="str">
        <f t="shared" si="7"/>
        <v>MaterialsCP</v>
      </c>
      <c r="R65" s="136">
        <v>2098760.1442718813</v>
      </c>
      <c r="S65" s="136">
        <v>1333071.9026798797</v>
      </c>
      <c r="T65" s="136">
        <v>799314.12430869183</v>
      </c>
      <c r="U65" s="136">
        <v>704000.23531383683</v>
      </c>
      <c r="V65" s="136">
        <v>704000.23531383683</v>
      </c>
    </row>
    <row r="66" spans="3:24" x14ac:dyDescent="0.2">
      <c r="C66" s="91" t="s">
        <v>3</v>
      </c>
      <c r="D66" s="91" t="s">
        <v>92</v>
      </c>
      <c r="E66" s="91" t="s">
        <v>93</v>
      </c>
      <c r="F66" s="135" t="str">
        <f t="shared" si="7"/>
        <v>ContractsCP</v>
      </c>
      <c r="R66" s="136">
        <v>38125.555597941995</v>
      </c>
      <c r="S66" s="136">
        <v>0</v>
      </c>
      <c r="T66" s="136">
        <v>38125.555597941995</v>
      </c>
      <c r="U66" s="136">
        <v>0</v>
      </c>
      <c r="V66" s="136">
        <v>0</v>
      </c>
    </row>
    <row r="67" spans="3:24" x14ac:dyDescent="0.2">
      <c r="C67" s="91" t="s">
        <v>1</v>
      </c>
      <c r="D67" s="91" t="s">
        <v>94</v>
      </c>
      <c r="E67" s="91" t="s">
        <v>93</v>
      </c>
      <c r="F67" s="135" t="str">
        <f>C67&amp;D67</f>
        <v>LabourPAL</v>
      </c>
      <c r="R67" s="136">
        <v>2705289.5725843506</v>
      </c>
      <c r="S67" s="136">
        <v>2542196.9180820431</v>
      </c>
      <c r="T67" s="136">
        <v>2608916.6403784417</v>
      </c>
      <c r="U67" s="136">
        <v>2275318.0288964491</v>
      </c>
      <c r="V67" s="136">
        <v>2275318.0288964491</v>
      </c>
    </row>
    <row r="68" spans="3:24" x14ac:dyDescent="0.2">
      <c r="C68" s="91" t="s">
        <v>0</v>
      </c>
      <c r="D68" s="91" t="s">
        <v>94</v>
      </c>
      <c r="E68" s="91" t="s">
        <v>93</v>
      </c>
      <c r="F68" s="135" t="str">
        <f t="shared" ref="F68:F69" si="8">C68&amp;D68</f>
        <v>MaterialsPAL</v>
      </c>
      <c r="R68" s="136">
        <v>5790455.1712891497</v>
      </c>
      <c r="S68" s="136">
        <v>4003849.2742411462</v>
      </c>
      <c r="T68" s="136">
        <v>2758414.4580417075</v>
      </c>
      <c r="U68" s="136">
        <v>2536015.3837203793</v>
      </c>
      <c r="V68" s="136">
        <v>2536015.3837203793</v>
      </c>
    </row>
    <row r="69" spans="3:24" x14ac:dyDescent="0.2">
      <c r="C69" s="91" t="s">
        <v>3</v>
      </c>
      <c r="D69" s="91" t="s">
        <v>94</v>
      </c>
      <c r="E69" s="91" t="s">
        <v>93</v>
      </c>
      <c r="F69" s="135" t="str">
        <f t="shared" si="8"/>
        <v>ContractsPAL</v>
      </c>
      <c r="R69" s="136">
        <v>88959.629728531319</v>
      </c>
      <c r="S69" s="136">
        <v>0</v>
      </c>
      <c r="T69" s="136">
        <v>88959.629728531319</v>
      </c>
      <c r="U69" s="136">
        <v>0</v>
      </c>
      <c r="V69" s="136">
        <v>0</v>
      </c>
    </row>
    <row r="70" spans="3:24" x14ac:dyDescent="0.2">
      <c r="C70" s="10" t="s">
        <v>113</v>
      </c>
      <c r="D70" s="10"/>
      <c r="E70" s="10"/>
      <c r="F70" s="10"/>
      <c r="G70" s="10"/>
      <c r="H70" s="10"/>
      <c r="I70" s="10"/>
      <c r="J70" s="14"/>
      <c r="L70" s="10"/>
      <c r="M70" s="10"/>
      <c r="N70" s="10"/>
      <c r="O70" s="10"/>
      <c r="P70" s="10"/>
      <c r="R70" s="11">
        <f>SUM(R64:R69)</f>
        <v>11558471.738467522</v>
      </c>
      <c r="S70" s="11">
        <f t="shared" ref="S70:V70" si="9">SUM(S64:S69)</f>
        <v>8646102.9080691747</v>
      </c>
      <c r="T70" s="11">
        <f t="shared" si="9"/>
        <v>7089309.3878198769</v>
      </c>
      <c r="U70" s="11">
        <f t="shared" si="9"/>
        <v>6167941.7942029461</v>
      </c>
      <c r="V70" s="11">
        <f t="shared" si="9"/>
        <v>6167941.7942029461</v>
      </c>
    </row>
    <row r="71" spans="3:24" x14ac:dyDescent="0.2">
      <c r="C71" s="92" t="s">
        <v>11</v>
      </c>
      <c r="D71" s="92"/>
      <c r="E71" s="92"/>
      <c r="F71" s="92"/>
      <c r="G71" s="92"/>
      <c r="H71" s="92"/>
      <c r="I71" s="92"/>
      <c r="J71" s="92"/>
      <c r="L71" s="92"/>
      <c r="M71" s="92"/>
      <c r="N71" s="92"/>
      <c r="O71" s="92"/>
      <c r="P71" s="92"/>
      <c r="R71" s="93">
        <f>R57-R70</f>
        <v>0</v>
      </c>
      <c r="S71" s="93">
        <f t="shared" ref="S71:V71" si="10">S57-S70</f>
        <v>0</v>
      </c>
      <c r="T71" s="93">
        <f t="shared" si="10"/>
        <v>0</v>
      </c>
      <c r="U71" s="93">
        <f t="shared" si="10"/>
        <v>0</v>
      </c>
      <c r="V71" s="93">
        <f t="shared" si="10"/>
        <v>0</v>
      </c>
      <c r="X71" s="93">
        <f>SUM(R71:V71)</f>
        <v>0</v>
      </c>
    </row>
    <row r="73" spans="3:24" x14ac:dyDescent="0.2">
      <c r="C73" s="115" t="s">
        <v>114</v>
      </c>
      <c r="D73" s="115"/>
      <c r="E73" s="116">
        <v>36893031.068627991</v>
      </c>
    </row>
  </sheetData>
  <conditionalFormatting sqref="X58">
    <cfRule type="expression" dxfId="14" priority="5">
      <formula>ABS(X58)&gt;0.001</formula>
    </cfRule>
  </conditionalFormatting>
  <conditionalFormatting sqref="R58:V58">
    <cfRule type="expression" dxfId="13" priority="4">
      <formula>ABS(R58)&gt;0.001</formula>
    </cfRule>
  </conditionalFormatting>
  <conditionalFormatting sqref="R71">
    <cfRule type="expression" dxfId="12" priority="3">
      <formula>ABS(R71)&gt;0.001</formula>
    </cfRule>
  </conditionalFormatting>
  <conditionalFormatting sqref="S71:V71">
    <cfRule type="expression" dxfId="11" priority="2">
      <formula>ABS(S71)&gt;0.001</formula>
    </cfRule>
  </conditionalFormatting>
  <conditionalFormatting sqref="X71">
    <cfRule type="expression" dxfId="10" priority="1">
      <formula>ABS(X71)&gt;0.001</formula>
    </cfRule>
  </conditionalFormatting>
  <dataValidations count="4">
    <dataValidation type="list" allowBlank="1" showInputMessage="1" showErrorMessage="1" sqref="G10:G18 G20:G28 G30:G40">
      <formula1>"ZSS, DSS, Depot, Other"</formula1>
    </dataValidation>
    <dataValidation type="list" allowBlank="1" showInputMessage="1" showErrorMessage="1" sqref="D34:D40">
      <formula1>"VPN, UE, All"</formula1>
    </dataValidation>
    <dataValidation type="list" allowBlank="1" showInputMessage="1" showErrorMessage="1" sqref="E20:E28 E10:E18 E30:E40">
      <formula1>"CapEx, OpEx"</formula1>
    </dataValidation>
    <dataValidation type="list" allowBlank="1" showInputMessage="1" showErrorMessage="1" sqref="F20:F28 F10:F18 F30:F40">
      <formula1>"Labour, Materials, Contracts"</formula1>
    </dataValidation>
  </dataValidation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33"/>
  <sheetViews>
    <sheetView showGridLines="0" zoomScale="90" zoomScaleNormal="90" workbookViewId="0"/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0.5703125" style="91" customWidth="1"/>
    <col min="4" max="4" width="11.140625" style="91" customWidth="1"/>
    <col min="5" max="5" width="12" style="91" customWidth="1"/>
    <col min="6" max="6" width="4.42578125" style="91" customWidth="1"/>
    <col min="7" max="7" width="11.7109375" style="91" customWidth="1"/>
    <col min="8" max="8" width="12.140625" style="91" customWidth="1"/>
    <col min="9" max="9" width="12.7109375" style="12" customWidth="1"/>
    <col min="10" max="11" width="14.28515625" style="12" customWidth="1"/>
    <col min="12" max="12" width="3.42578125" style="91" customWidth="1"/>
    <col min="13" max="17" width="12.140625" style="91" customWidth="1"/>
    <col min="18" max="18" width="2.140625" style="91" customWidth="1"/>
    <col min="19" max="16384" width="9.140625" style="91"/>
  </cols>
  <sheetData>
    <row r="1" spans="1:22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6"/>
      <c r="J1" s="16"/>
      <c r="K1" s="16"/>
      <c r="L1" s="15"/>
      <c r="M1" s="15"/>
      <c r="N1" s="15"/>
      <c r="O1" s="15"/>
      <c r="P1" s="15"/>
      <c r="Q1" s="15"/>
    </row>
    <row r="2" spans="1:22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6"/>
      <c r="J2" s="16"/>
      <c r="K2" s="16"/>
      <c r="L2" s="15"/>
      <c r="M2" s="15"/>
      <c r="N2" s="15"/>
      <c r="O2" s="15"/>
      <c r="P2" s="15"/>
      <c r="Q2" s="15"/>
    </row>
    <row r="3" spans="1:22" s="37" customFormat="1" ht="15" x14ac:dyDescent="0.25">
      <c r="A3" s="35" t="s">
        <v>71</v>
      </c>
      <c r="B3" s="35"/>
      <c r="C3" s="35"/>
      <c r="D3" s="35"/>
      <c r="E3" s="35"/>
      <c r="F3" s="35"/>
      <c r="G3" s="35"/>
      <c r="H3" s="35"/>
      <c r="I3" s="36"/>
      <c r="J3" s="36"/>
      <c r="K3" s="36"/>
      <c r="L3" s="35"/>
      <c r="M3" s="35"/>
      <c r="N3" s="35"/>
      <c r="O3" s="35"/>
      <c r="P3" s="35"/>
      <c r="Q3" s="35"/>
      <c r="S3" s="110" t="b">
        <f>SUM(S7:S26)=0</f>
        <v>1</v>
      </c>
    </row>
    <row r="4" spans="1:22" s="2" customFormat="1" ht="12.75" customHeight="1" x14ac:dyDescent="0.25">
      <c r="B4" s="19"/>
      <c r="C4" s="20"/>
      <c r="D4" s="20"/>
      <c r="E4" s="20"/>
      <c r="F4" s="20"/>
      <c r="G4" s="20"/>
      <c r="H4" s="20"/>
      <c r="I4" s="21"/>
      <c r="J4" s="21"/>
      <c r="K4" s="21"/>
      <c r="L4" s="20"/>
      <c r="M4" s="20"/>
      <c r="N4" s="20"/>
      <c r="O4" s="20"/>
      <c r="P4" s="20"/>
      <c r="Q4" s="20"/>
    </row>
    <row r="5" spans="1:22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1"/>
      <c r="J5" s="21"/>
      <c r="K5" s="21"/>
      <c r="L5" s="20"/>
      <c r="M5" s="20"/>
      <c r="N5" s="20"/>
      <c r="O5" s="20"/>
      <c r="P5" s="20"/>
      <c r="Q5" s="20"/>
    </row>
    <row r="6" spans="1:22" ht="12.75" customHeight="1" x14ac:dyDescent="0.2">
      <c r="A6" s="7"/>
      <c r="G6" s="20"/>
    </row>
    <row r="7" spans="1:22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G7" s="23" t="s">
        <v>74</v>
      </c>
      <c r="H7" s="24"/>
      <c r="I7" s="24"/>
      <c r="J7" s="24"/>
      <c r="K7" s="123"/>
      <c r="M7" s="23" t="s">
        <v>68</v>
      </c>
      <c r="N7" s="24"/>
      <c r="O7" s="24"/>
      <c r="P7" s="24"/>
      <c r="Q7" s="24"/>
    </row>
    <row r="8" spans="1:22" ht="12.75" customHeight="1" x14ac:dyDescent="0.2">
      <c r="A8" s="7"/>
      <c r="B8" s="7"/>
      <c r="C8" s="7"/>
      <c r="D8" s="7"/>
      <c r="E8" s="7"/>
      <c r="F8" s="20"/>
      <c r="G8" s="113"/>
      <c r="H8" s="113"/>
      <c r="I8" s="113"/>
      <c r="J8" s="113"/>
      <c r="K8" s="113" t="s">
        <v>75</v>
      </c>
      <c r="L8" s="4"/>
      <c r="M8" s="113" t="s">
        <v>15</v>
      </c>
      <c r="N8" s="113" t="s">
        <v>16</v>
      </c>
      <c r="O8" s="113" t="s">
        <v>17</v>
      </c>
      <c r="P8" s="113" t="s">
        <v>18</v>
      </c>
      <c r="Q8" s="113" t="s">
        <v>19</v>
      </c>
    </row>
    <row r="9" spans="1:22" ht="12.75" customHeight="1" x14ac:dyDescent="0.2">
      <c r="C9" s="4"/>
      <c r="D9" s="4"/>
      <c r="E9" s="4"/>
      <c r="F9" s="20"/>
    </row>
    <row r="10" spans="1:22" ht="12.75" customHeight="1" x14ac:dyDescent="0.2">
      <c r="A10" s="7"/>
      <c r="C10" s="99" t="s">
        <v>72</v>
      </c>
      <c r="D10" s="100" t="s">
        <v>4</v>
      </c>
      <c r="E10" s="101" t="s">
        <v>55</v>
      </c>
      <c r="F10" s="3"/>
      <c r="G10" s="117"/>
      <c r="H10" s="117"/>
      <c r="I10" s="117"/>
      <c r="J10" s="117"/>
      <c r="K10" s="117">
        <v>5622351.1386261825</v>
      </c>
      <c r="L10" s="3"/>
      <c r="M10" s="8">
        <v>1686705.3415878548</v>
      </c>
      <c r="N10" s="8">
        <v>1686705.3415878548</v>
      </c>
      <c r="O10" s="8">
        <v>1124470.2277252364</v>
      </c>
      <c r="P10" s="8">
        <v>562235.11386261822</v>
      </c>
      <c r="Q10" s="8">
        <v>562235.11386261822</v>
      </c>
    </row>
    <row r="11" spans="1:22" ht="12.75" customHeight="1" x14ac:dyDescent="0.2">
      <c r="A11" s="7"/>
      <c r="C11" s="99"/>
      <c r="D11" s="100"/>
      <c r="E11" s="101"/>
      <c r="F11" s="3"/>
      <c r="G11" s="102"/>
      <c r="H11" s="102"/>
      <c r="I11" s="102"/>
      <c r="J11" s="102"/>
      <c r="K11" s="102"/>
      <c r="L11" s="3"/>
      <c r="M11" s="8"/>
      <c r="N11" s="8"/>
      <c r="O11" s="8"/>
      <c r="P11" s="8"/>
      <c r="Q11" s="8"/>
    </row>
    <row r="12" spans="1:22" ht="12.75" customHeight="1" x14ac:dyDescent="0.2">
      <c r="A12" s="7"/>
      <c r="C12" s="99"/>
      <c r="D12" s="100"/>
      <c r="E12" s="101"/>
      <c r="F12" s="3"/>
      <c r="G12" s="102"/>
      <c r="H12" s="102"/>
      <c r="I12" s="102"/>
      <c r="J12" s="102"/>
      <c r="K12" s="102"/>
      <c r="L12" s="3"/>
      <c r="M12" s="8"/>
      <c r="N12" s="8"/>
      <c r="O12" s="8"/>
      <c r="P12" s="8"/>
      <c r="Q12" s="8"/>
    </row>
    <row r="13" spans="1:22" ht="12.75" customHeight="1" x14ac:dyDescent="0.25">
      <c r="A13" s="7"/>
      <c r="C13" s="99"/>
      <c r="D13" s="100"/>
      <c r="E13" s="101"/>
      <c r="F13" s="3"/>
      <c r="G13" s="102"/>
      <c r="H13" s="102"/>
      <c r="I13" s="102"/>
      <c r="J13" s="102"/>
      <c r="K13" s="102"/>
      <c r="L13" s="3"/>
      <c r="M13" s="8"/>
      <c r="N13" s="8"/>
      <c r="O13" s="8"/>
      <c r="P13" s="8"/>
      <c r="Q13" s="8"/>
      <c r="V13"/>
    </row>
    <row r="14" spans="1:22" ht="12.75" customHeight="1" x14ac:dyDescent="0.25">
      <c r="A14" s="7"/>
      <c r="C14" s="99"/>
      <c r="D14" s="100"/>
      <c r="E14" s="101"/>
      <c r="F14" s="3"/>
      <c r="G14" s="102"/>
      <c r="H14" s="102"/>
      <c r="I14" s="102"/>
      <c r="J14" s="102"/>
      <c r="K14" s="102"/>
      <c r="L14" s="3"/>
      <c r="M14" s="8"/>
      <c r="N14" s="8"/>
      <c r="O14" s="8"/>
      <c r="P14" s="8"/>
      <c r="Q14" s="8"/>
      <c r="V14"/>
    </row>
    <row r="15" spans="1:22" ht="12.75" customHeight="1" x14ac:dyDescent="0.25">
      <c r="A15" s="7"/>
      <c r="C15" s="106"/>
      <c r="D15" s="100"/>
      <c r="E15" s="101"/>
      <c r="F15" s="3"/>
      <c r="G15" s="102"/>
      <c r="H15" s="102"/>
      <c r="I15" s="102"/>
      <c r="J15" s="102"/>
      <c r="K15" s="102"/>
      <c r="L15" s="3"/>
      <c r="M15" s="8"/>
      <c r="N15" s="8"/>
      <c r="O15" s="8"/>
      <c r="P15" s="8"/>
      <c r="Q15" s="8"/>
      <c r="V15"/>
    </row>
    <row r="16" spans="1:22" ht="12.75" customHeight="1" x14ac:dyDescent="0.25">
      <c r="A16" s="7"/>
      <c r="C16" s="106"/>
      <c r="D16" s="100"/>
      <c r="E16" s="101"/>
      <c r="F16" s="3"/>
      <c r="G16" s="102"/>
      <c r="H16" s="102"/>
      <c r="I16" s="102"/>
      <c r="J16" s="102"/>
      <c r="K16" s="102"/>
      <c r="L16" s="3"/>
      <c r="M16" s="8"/>
      <c r="N16" s="8"/>
      <c r="O16" s="8"/>
      <c r="P16" s="8"/>
      <c r="Q16" s="8"/>
      <c r="V16"/>
    </row>
    <row r="17" spans="1:22" ht="12.75" customHeight="1" x14ac:dyDescent="0.25">
      <c r="A17" s="7"/>
      <c r="F17" s="3"/>
      <c r="L17" s="3"/>
      <c r="V17"/>
    </row>
    <row r="18" spans="1:22" ht="12.75" customHeight="1" x14ac:dyDescent="0.25">
      <c r="A18" s="7"/>
      <c r="F18" s="3"/>
      <c r="L18" s="3"/>
      <c r="V18"/>
    </row>
    <row r="19" spans="1:22" ht="12.75" customHeight="1" x14ac:dyDescent="0.25">
      <c r="G19" s="3"/>
      <c r="L19" s="3"/>
      <c r="V19"/>
    </row>
    <row r="20" spans="1:22" ht="12.75" customHeight="1" x14ac:dyDescent="0.25">
      <c r="C20" s="5" t="s">
        <v>12</v>
      </c>
      <c r="G20" s="3"/>
      <c r="L20" s="3"/>
      <c r="V20"/>
    </row>
    <row r="21" spans="1:22" ht="12.75" customHeight="1" x14ac:dyDescent="0.2">
      <c r="C21" s="27" t="s">
        <v>1</v>
      </c>
      <c r="D21" s="27" t="s">
        <v>4</v>
      </c>
      <c r="E21" s="27" t="s">
        <v>55</v>
      </c>
      <c r="G21" s="27"/>
      <c r="H21" s="27"/>
      <c r="I21" s="28"/>
      <c r="J21" s="27"/>
      <c r="K21" s="4"/>
      <c r="L21" s="3"/>
      <c r="M21" s="40">
        <f>SUM(M$10:M$16)*Assumptions!$D$29</f>
        <v>50601.160247635642</v>
      </c>
      <c r="N21" s="40">
        <f>SUM(N$10:N$16)*Assumptions!$D$29</f>
        <v>50601.160247635642</v>
      </c>
      <c r="O21" s="40">
        <f>SUM(O$10:O$16)*Assumptions!$D$29</f>
        <v>33734.10683175709</v>
      </c>
      <c r="P21" s="40">
        <f>SUM(P$10:P$16)*Assumptions!$D$29</f>
        <v>16867.053415878545</v>
      </c>
      <c r="Q21" s="40">
        <f>SUM(Q$10:Q$16)*Assumptions!$D$29</f>
        <v>16867.053415878545</v>
      </c>
    </row>
    <row r="22" spans="1:22" ht="12.75" customHeight="1" x14ac:dyDescent="0.2">
      <c r="C22" s="4" t="s">
        <v>0</v>
      </c>
      <c r="D22" s="4" t="s">
        <v>4</v>
      </c>
      <c r="E22" s="4" t="s">
        <v>55</v>
      </c>
      <c r="G22" s="4"/>
      <c r="H22" s="4"/>
      <c r="I22" s="13"/>
      <c r="J22" s="4"/>
      <c r="K22" s="4"/>
      <c r="L22" s="3"/>
      <c r="M22" s="130">
        <f>SUM(M$10:M$16)*Assumptions!$E$29</f>
        <v>1096358.4720321056</v>
      </c>
      <c r="N22" s="130">
        <f>SUM(N$10:N$16)*Assumptions!$E$29</f>
        <v>1096358.4720321056</v>
      </c>
      <c r="O22" s="130">
        <f>SUM(O$10:O$16)*Assumptions!$E$29</f>
        <v>730905.6480214037</v>
      </c>
      <c r="P22" s="130">
        <f>SUM(P$10:P$16)*Assumptions!$E$29</f>
        <v>365452.82401070185</v>
      </c>
      <c r="Q22" s="130">
        <f>SUM(Q$10:Q$16)*Assumptions!$E$29</f>
        <v>365452.82401070185</v>
      </c>
    </row>
    <row r="23" spans="1:22" ht="12.75" customHeight="1" x14ac:dyDescent="0.2">
      <c r="C23" s="4" t="s">
        <v>3</v>
      </c>
      <c r="D23" s="4" t="s">
        <v>4</v>
      </c>
      <c r="E23" s="4" t="s">
        <v>55</v>
      </c>
      <c r="G23" s="4"/>
      <c r="H23" s="4"/>
      <c r="I23" s="13"/>
      <c r="J23" s="4"/>
      <c r="K23" s="4"/>
      <c r="L23" s="3"/>
      <c r="M23" s="130">
        <f>SUM(M$10:M$16)*Assumptions!$F$29</f>
        <v>539745.70930811355</v>
      </c>
      <c r="N23" s="130">
        <f>SUM(N$10:N$16)*Assumptions!$F$29</f>
        <v>539745.70930811355</v>
      </c>
      <c r="O23" s="130">
        <f>SUM(O$10:O$16)*Assumptions!$F$29</f>
        <v>359830.47287207568</v>
      </c>
      <c r="P23" s="130">
        <f>SUM(P$10:P$16)*Assumptions!$F$29</f>
        <v>179915.23643603784</v>
      </c>
      <c r="Q23" s="130">
        <f>SUM(Q$10:Q$16)*Assumptions!$F$29</f>
        <v>179915.23643603784</v>
      </c>
    </row>
    <row r="24" spans="1:22" ht="12.75" customHeight="1" x14ac:dyDescent="0.2">
      <c r="C24" s="10" t="str">
        <f>"Total Expenditure ($ "&amp;Assumptions!$B$8&amp;")"</f>
        <v>Total Expenditure ($ 2018)</v>
      </c>
      <c r="D24" s="10"/>
      <c r="E24" s="10"/>
      <c r="G24" s="10"/>
      <c r="H24" s="10"/>
      <c r="I24" s="14"/>
      <c r="J24" s="10"/>
      <c r="K24" s="7"/>
      <c r="L24" s="3"/>
      <c r="M24" s="11">
        <f>SUM(M21:M23)</f>
        <v>1686705.3415878545</v>
      </c>
      <c r="N24" s="11">
        <f>SUM(N21:N23)</f>
        <v>1686705.3415878545</v>
      </c>
      <c r="O24" s="11">
        <f>SUM(O21:O23)</f>
        <v>1124470.2277252364</v>
      </c>
      <c r="P24" s="11">
        <f>SUM(P21:P23)</f>
        <v>562235.11386261822</v>
      </c>
      <c r="Q24" s="11">
        <f>SUM(Q21:Q23)</f>
        <v>562235.11386261822</v>
      </c>
      <c r="R24" s="39"/>
    </row>
    <row r="25" spans="1:22" ht="12.75" customHeight="1" x14ac:dyDescent="0.2">
      <c r="C25" s="27" t="str">
        <f>"Total Expenditure ($ "&amp;Assumptions!B17&amp;")"</f>
        <v>Total Expenditure ($ 2020/21)</v>
      </c>
      <c r="D25" s="27"/>
      <c r="E25" s="4"/>
      <c r="G25" s="27"/>
      <c r="H25" s="27"/>
      <c r="I25" s="28"/>
      <c r="J25" s="27"/>
      <c r="K25" s="4"/>
      <c r="L25" s="3"/>
      <c r="M25" s="40">
        <f>M24*Assumptions!$B$18</f>
        <v>1786293.8410570414</v>
      </c>
      <c r="N25" s="40">
        <f>N24*Assumptions!$B$18</f>
        <v>1786293.8410570414</v>
      </c>
      <c r="O25" s="40">
        <f>O24*Assumptions!$B$18</f>
        <v>1190862.5607046944</v>
      </c>
      <c r="P25" s="40">
        <f>P24*Assumptions!$B$18</f>
        <v>595431.28035234718</v>
      </c>
      <c r="Q25" s="40">
        <f>Q24*Assumptions!$B$18</f>
        <v>595431.28035234718</v>
      </c>
      <c r="R25" s="39"/>
    </row>
    <row r="26" spans="1:22" ht="12.75" customHeight="1" x14ac:dyDescent="0.2">
      <c r="C26" s="92" t="s">
        <v>11</v>
      </c>
      <c r="D26" s="92"/>
      <c r="E26" s="92"/>
      <c r="G26" s="92"/>
      <c r="H26" s="92"/>
      <c r="I26" s="92"/>
      <c r="J26" s="92"/>
      <c r="K26" s="92"/>
      <c r="L26" s="3"/>
      <c r="M26" s="93">
        <f>M24-SUM(M10:M18)</f>
        <v>0</v>
      </c>
      <c r="N26" s="93">
        <f>N24-SUM(N10:N18)</f>
        <v>0</v>
      </c>
      <c r="O26" s="93">
        <f>O24-SUM(O10:O18)</f>
        <v>0</v>
      </c>
      <c r="P26" s="93">
        <f>P24-SUM(P10:P18)</f>
        <v>0</v>
      </c>
      <c r="Q26" s="93">
        <f>Q24-SUM(Q10:Q18)</f>
        <v>0</v>
      </c>
      <c r="S26" s="93">
        <f>SUM(M26:Q26)</f>
        <v>0</v>
      </c>
    </row>
    <row r="27" spans="1:22" ht="12.75" customHeight="1" x14ac:dyDescent="0.2">
      <c r="G27" s="3"/>
      <c r="L27" s="3"/>
    </row>
    <row r="28" spans="1:22" ht="12.75" customHeight="1" x14ac:dyDescent="0.2">
      <c r="C28" s="115" t="str">
        <f>"NPV ($ "&amp;Assumptions!$B$17&amp;")"</f>
        <v>NPV ($ 2020/21)</v>
      </c>
      <c r="D28" s="116">
        <f>NPV(Assumptions!$B$6,$M$25:$Q$25)</f>
        <v>5582328.0291330647</v>
      </c>
      <c r="G28" s="3"/>
      <c r="L28" s="3"/>
    </row>
    <row r="29" spans="1:22" ht="12.75" customHeight="1" x14ac:dyDescent="0.2"/>
    <row r="30" spans="1:22" ht="12.75" customHeight="1" x14ac:dyDescent="0.2"/>
    <row r="31" spans="1:22" ht="12.75" customHeight="1" x14ac:dyDescent="0.2"/>
    <row r="32" spans="1:22" ht="12.75" customHeight="1" x14ac:dyDescent="0.2"/>
    <row r="33" ht="12.75" customHeight="1" x14ac:dyDescent="0.2"/>
  </sheetData>
  <conditionalFormatting sqref="S26">
    <cfRule type="expression" dxfId="9" priority="2">
      <formula>ABS(S26)&gt;0.001</formula>
    </cfRule>
  </conditionalFormatting>
  <conditionalFormatting sqref="M26:Q26">
    <cfRule type="expression" dxfId="8" priority="1">
      <formula>ABS(M26)&gt;0.001</formula>
    </cfRule>
  </conditionalFormatting>
  <dataValidations count="2">
    <dataValidation type="list" allowBlank="1" showInputMessage="1" showErrorMessage="1" sqref="D10:D16">
      <formula1>"CapEx, OpEx"</formula1>
    </dataValidation>
    <dataValidation type="list" allowBlank="1" showInputMessage="1" showErrorMessage="1" sqref="E10:E16">
      <formula1>"Fleet, Tools and equipment, Property, Land"</formula1>
    </dataValidation>
  </dataValidation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97"/>
  <sheetViews>
    <sheetView showGridLines="0" zoomScale="90" zoomScaleNormal="90" workbookViewId="0">
      <selection activeCell="D1" sqref="D1"/>
    </sheetView>
  </sheetViews>
  <sheetFormatPr defaultColWidth="9.140625" defaultRowHeight="12.75" x14ac:dyDescent="0.2"/>
  <cols>
    <col min="1" max="1" width="4.28515625" style="1" customWidth="1"/>
    <col min="2" max="2" width="2.7109375" style="1" customWidth="1"/>
    <col min="3" max="3" width="45.7109375" style="1" customWidth="1"/>
    <col min="4" max="4" width="11.140625" style="1" customWidth="1"/>
    <col min="5" max="5" width="13" style="1" bestFit="1" customWidth="1"/>
    <col min="6" max="7" width="2.85546875" style="1" customWidth="1"/>
    <col min="8" max="12" width="12.140625" style="1" customWidth="1"/>
    <col min="13" max="13" width="2.140625" style="1" customWidth="1"/>
    <col min="14" max="16384" width="9.140625" style="1"/>
  </cols>
  <sheetData>
    <row r="1" spans="1:17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37" customFormat="1" ht="15" x14ac:dyDescent="0.25">
      <c r="A3" s="35" t="s">
        <v>70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N3" s="110" t="b">
        <f>SUM(N7:N72)=0</f>
        <v>1</v>
      </c>
    </row>
    <row r="4" spans="1:1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7" ht="12.75" customHeight="1" x14ac:dyDescent="0.2">
      <c r="A6" s="7"/>
      <c r="F6" s="20"/>
    </row>
    <row r="7" spans="1:17" ht="12.75" customHeight="1" x14ac:dyDescent="0.2">
      <c r="A7" s="7"/>
      <c r="B7" s="91"/>
      <c r="C7" s="112" t="s">
        <v>39</v>
      </c>
      <c r="D7" s="23" t="s">
        <v>20</v>
      </c>
      <c r="E7" s="23" t="s">
        <v>8</v>
      </c>
      <c r="F7" s="20"/>
      <c r="G7" s="91"/>
      <c r="H7" s="23" t="s">
        <v>10</v>
      </c>
      <c r="I7" s="24"/>
      <c r="J7" s="24"/>
      <c r="K7" s="24"/>
      <c r="L7" s="24"/>
    </row>
    <row r="8" spans="1:17" s="91" customFormat="1" ht="12.75" customHeight="1" x14ac:dyDescent="0.2">
      <c r="A8" s="7"/>
      <c r="B8" s="7"/>
      <c r="C8" s="7"/>
      <c r="D8" s="7"/>
      <c r="E8" s="7"/>
      <c r="F8" s="20"/>
      <c r="G8" s="4"/>
      <c r="H8" s="113" t="s">
        <v>15</v>
      </c>
      <c r="I8" s="113" t="s">
        <v>16</v>
      </c>
      <c r="J8" s="113" t="s">
        <v>17</v>
      </c>
      <c r="K8" s="113" t="s">
        <v>18</v>
      </c>
      <c r="L8" s="113" t="s">
        <v>19</v>
      </c>
    </row>
    <row r="9" spans="1:17" ht="12.75" customHeight="1" x14ac:dyDescent="0.2">
      <c r="A9" s="91"/>
      <c r="B9" s="91"/>
      <c r="C9" s="91"/>
      <c r="D9" s="91"/>
      <c r="E9" s="91"/>
      <c r="F9" s="20"/>
      <c r="G9" s="91"/>
      <c r="H9" s="91"/>
      <c r="I9" s="91"/>
      <c r="J9" s="91"/>
      <c r="K9" s="91"/>
      <c r="L9" s="91"/>
    </row>
    <row r="10" spans="1:17" ht="12.75" customHeight="1" x14ac:dyDescent="0.2">
      <c r="A10" s="7" t="str">
        <f>IF(ISBLANK(B10),"",1+MAX(A$6:A9))</f>
        <v/>
      </c>
      <c r="C10" s="99"/>
      <c r="D10" s="100"/>
      <c r="E10" s="101"/>
      <c r="F10" s="3"/>
      <c r="G10" s="3"/>
      <c r="H10" s="103"/>
      <c r="I10" s="103"/>
      <c r="J10" s="103"/>
      <c r="K10" s="103"/>
      <c r="L10" s="103"/>
      <c r="O10" s="91"/>
    </row>
    <row r="11" spans="1:17" ht="12.75" customHeight="1" x14ac:dyDescent="0.2">
      <c r="A11" s="7" t="str">
        <f>IF(ISBLANK(B11),"",1+MAX(A$6:A10))</f>
        <v/>
      </c>
      <c r="C11" s="99"/>
      <c r="D11" s="100"/>
      <c r="E11" s="101"/>
      <c r="F11" s="3"/>
      <c r="G11" s="3"/>
      <c r="H11" s="103"/>
      <c r="I11" s="103"/>
      <c r="J11" s="103"/>
      <c r="K11" s="103"/>
      <c r="L11" s="103"/>
      <c r="O11" s="91"/>
    </row>
    <row r="12" spans="1:17" ht="12.75" customHeight="1" x14ac:dyDescent="0.2">
      <c r="A12" s="7" t="str">
        <f>IF(ISBLANK(B12),"",1+MAX(A$6:A11))</f>
        <v/>
      </c>
      <c r="C12" s="99"/>
      <c r="D12" s="100"/>
      <c r="E12" s="101"/>
      <c r="F12" s="3"/>
      <c r="G12" s="3"/>
      <c r="H12" s="103"/>
      <c r="I12" s="103"/>
      <c r="J12" s="103"/>
      <c r="K12" s="103"/>
      <c r="L12" s="103"/>
      <c r="O12" s="91"/>
    </row>
    <row r="13" spans="1:17" ht="12.75" customHeight="1" x14ac:dyDescent="0.25">
      <c r="A13" s="7" t="str">
        <f>IF(ISBLANK(B13),"",1+MAX(A$6:A12))</f>
        <v/>
      </c>
      <c r="C13" s="99"/>
      <c r="D13" s="100"/>
      <c r="E13" s="101"/>
      <c r="F13" s="3"/>
      <c r="G13" s="3"/>
      <c r="H13" s="103"/>
      <c r="I13" s="103"/>
      <c r="J13" s="103"/>
      <c r="K13" s="103"/>
      <c r="L13" s="103"/>
      <c r="O13" s="91"/>
      <c r="Q13"/>
    </row>
    <row r="14" spans="1:17" s="91" customFormat="1" ht="12.75" customHeight="1" x14ac:dyDescent="0.25">
      <c r="A14" s="7"/>
      <c r="C14" s="99"/>
      <c r="D14" s="100"/>
      <c r="E14" s="101"/>
      <c r="F14" s="3"/>
      <c r="G14" s="3"/>
      <c r="H14" s="103"/>
      <c r="I14" s="103"/>
      <c r="J14" s="103"/>
      <c r="K14" s="103"/>
      <c r="L14" s="103"/>
      <c r="Q14"/>
    </row>
    <row r="15" spans="1:17" s="91" customFormat="1" ht="12.75" customHeight="1" x14ac:dyDescent="0.25">
      <c r="A15" s="7"/>
      <c r="C15" s="99"/>
      <c r="D15" s="100"/>
      <c r="E15" s="101"/>
      <c r="F15" s="3"/>
      <c r="G15" s="3"/>
      <c r="H15" s="103"/>
      <c r="I15" s="103"/>
      <c r="J15" s="103"/>
      <c r="K15" s="103"/>
      <c r="L15" s="103"/>
      <c r="Q15"/>
    </row>
    <row r="16" spans="1:17" s="91" customFormat="1" ht="12.75" customHeight="1" x14ac:dyDescent="0.25">
      <c r="A16" s="7"/>
      <c r="C16" s="99"/>
      <c r="D16" s="100"/>
      <c r="E16" s="101"/>
      <c r="F16" s="3"/>
      <c r="G16" s="3"/>
      <c r="H16" s="103"/>
      <c r="I16" s="103"/>
      <c r="J16" s="103"/>
      <c r="K16" s="103"/>
      <c r="L16" s="103"/>
      <c r="Q16"/>
    </row>
    <row r="17" spans="1:17" s="91" customFormat="1" ht="12.75" customHeight="1" x14ac:dyDescent="0.25">
      <c r="A17" s="7"/>
      <c r="C17" s="99"/>
      <c r="D17" s="100"/>
      <c r="E17" s="101"/>
      <c r="F17" s="3"/>
      <c r="G17" s="3"/>
      <c r="H17" s="103"/>
      <c r="I17" s="103"/>
      <c r="J17" s="103"/>
      <c r="K17" s="103"/>
      <c r="L17" s="103"/>
      <c r="Q17"/>
    </row>
    <row r="18" spans="1:17" ht="12.75" customHeight="1" x14ac:dyDescent="0.25">
      <c r="A18" s="7" t="str">
        <f>IF(ISBLANK(B18),"",1+MAX(A$6:A13))</f>
        <v/>
      </c>
      <c r="C18" s="99"/>
      <c r="D18" s="100"/>
      <c r="E18" s="101"/>
      <c r="F18" s="3"/>
      <c r="G18" s="3"/>
      <c r="H18" s="103"/>
      <c r="I18" s="103"/>
      <c r="J18" s="103"/>
      <c r="K18" s="103"/>
      <c r="L18" s="103"/>
      <c r="Q18"/>
    </row>
    <row r="19" spans="1:17" ht="12.75" customHeight="1" x14ac:dyDescent="0.25">
      <c r="A19" s="7" t="str">
        <f>IF(ISBLANK(B19),"",1+MAX(A$6:A18))</f>
        <v/>
      </c>
      <c r="F19" s="3"/>
      <c r="G19" s="3"/>
      <c r="Q19"/>
    </row>
    <row r="20" spans="1:17" ht="12.75" customHeight="1" x14ac:dyDescent="0.25">
      <c r="A20" s="7" t="str">
        <f>IF(ISBLANK(B20),"",1+MAX(A$6:A19))</f>
        <v/>
      </c>
      <c r="C20" s="99"/>
      <c r="D20" s="100"/>
      <c r="E20" s="101"/>
      <c r="F20" s="3"/>
      <c r="G20" s="3"/>
      <c r="H20" s="104"/>
      <c r="I20" s="103"/>
      <c r="J20" s="104"/>
      <c r="K20" s="105"/>
      <c r="L20" s="104"/>
      <c r="Q20"/>
    </row>
    <row r="21" spans="1:17" s="91" customFormat="1" ht="12.75" customHeight="1" x14ac:dyDescent="0.25">
      <c r="A21" s="7"/>
      <c r="C21" s="99"/>
      <c r="D21" s="100"/>
      <c r="E21" s="101"/>
      <c r="F21" s="3"/>
      <c r="G21" s="3"/>
      <c r="H21" s="104"/>
      <c r="I21" s="103"/>
      <c r="J21" s="104"/>
      <c r="K21" s="105"/>
      <c r="L21" s="104"/>
      <c r="Q21"/>
    </row>
    <row r="22" spans="1:17" s="91" customFormat="1" ht="12.75" customHeight="1" x14ac:dyDescent="0.25">
      <c r="A22" s="7"/>
      <c r="C22" s="99"/>
      <c r="D22" s="100"/>
      <c r="E22" s="101"/>
      <c r="F22" s="3"/>
      <c r="G22" s="3"/>
      <c r="H22" s="104"/>
      <c r="I22" s="103"/>
      <c r="J22" s="104"/>
      <c r="K22" s="105"/>
      <c r="L22" s="104"/>
      <c r="Q22"/>
    </row>
    <row r="23" spans="1:17" s="91" customFormat="1" ht="12.75" customHeight="1" x14ac:dyDescent="0.25">
      <c r="A23" s="7"/>
      <c r="C23" s="99"/>
      <c r="D23" s="100"/>
      <c r="E23" s="101"/>
      <c r="F23" s="3"/>
      <c r="G23" s="3"/>
      <c r="H23" s="104"/>
      <c r="I23" s="103"/>
      <c r="J23" s="104"/>
      <c r="K23" s="105"/>
      <c r="L23" s="104"/>
      <c r="Q23"/>
    </row>
    <row r="24" spans="1:17" s="91" customFormat="1" ht="12.75" customHeight="1" x14ac:dyDescent="0.25">
      <c r="A24" s="7"/>
      <c r="C24" s="99"/>
      <c r="D24" s="100"/>
      <c r="E24" s="101"/>
      <c r="F24" s="3"/>
      <c r="G24" s="3"/>
      <c r="H24" s="104"/>
      <c r="I24" s="103"/>
      <c r="J24" s="104"/>
      <c r="K24" s="105"/>
      <c r="L24" s="104"/>
      <c r="Q24"/>
    </row>
    <row r="25" spans="1:17" s="91" customFormat="1" ht="12.75" customHeight="1" x14ac:dyDescent="0.25">
      <c r="A25" s="7"/>
      <c r="C25" s="99"/>
      <c r="D25" s="100"/>
      <c r="E25" s="101"/>
      <c r="F25" s="3"/>
      <c r="G25" s="3"/>
      <c r="H25" s="104"/>
      <c r="I25" s="103"/>
      <c r="J25" s="104"/>
      <c r="K25" s="105"/>
      <c r="L25" s="104"/>
      <c r="Q25"/>
    </row>
    <row r="26" spans="1:17" s="91" customFormat="1" ht="12.75" customHeight="1" x14ac:dyDescent="0.25">
      <c r="A26" s="7"/>
      <c r="C26" s="99"/>
      <c r="D26" s="100"/>
      <c r="E26" s="101"/>
      <c r="F26" s="3"/>
      <c r="G26" s="3"/>
      <c r="H26" s="104"/>
      <c r="I26" s="103"/>
      <c r="J26" s="104"/>
      <c r="K26" s="105"/>
      <c r="L26" s="104"/>
      <c r="Q26"/>
    </row>
    <row r="27" spans="1:17" s="91" customFormat="1" ht="12.75" customHeight="1" x14ac:dyDescent="0.25">
      <c r="A27" s="7"/>
      <c r="C27" s="99"/>
      <c r="D27" s="100"/>
      <c r="E27" s="101"/>
      <c r="F27" s="3"/>
      <c r="G27" s="3"/>
      <c r="H27" s="104"/>
      <c r="I27" s="105"/>
      <c r="J27" s="104"/>
      <c r="K27" s="105"/>
      <c r="L27" s="104"/>
      <c r="Q27"/>
    </row>
    <row r="28" spans="1:17" s="91" customFormat="1" ht="12.75" customHeight="1" x14ac:dyDescent="0.25">
      <c r="A28" s="7"/>
      <c r="C28" s="99"/>
      <c r="D28" s="100"/>
      <c r="E28" s="101"/>
      <c r="F28" s="3"/>
      <c r="G28" s="3"/>
      <c r="H28" s="104"/>
      <c r="I28" s="105"/>
      <c r="J28" s="104"/>
      <c r="K28" s="105"/>
      <c r="L28" s="104"/>
      <c r="Q28"/>
    </row>
    <row r="29" spans="1:17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Q29"/>
    </row>
    <row r="30" spans="1:17" s="91" customFormat="1" ht="12.75" customHeight="1" x14ac:dyDescent="0.25">
      <c r="A30" s="7" t="str">
        <f>IF(ISBLANK(B30),"",1+MAX(A$6:A29))</f>
        <v/>
      </c>
      <c r="C30" s="99"/>
      <c r="D30" s="100"/>
      <c r="E30" s="101"/>
      <c r="F30" s="3"/>
      <c r="G30" s="3"/>
      <c r="H30" s="104"/>
      <c r="I30" s="103"/>
      <c r="J30" s="103"/>
      <c r="K30" s="105"/>
      <c r="L30" s="104"/>
      <c r="Q30"/>
    </row>
    <row r="31" spans="1:17" s="91" customFormat="1" ht="12.75" customHeight="1" x14ac:dyDescent="0.25">
      <c r="A31" s="7"/>
      <c r="C31" s="99"/>
      <c r="D31" s="100"/>
      <c r="E31" s="101"/>
      <c r="F31" s="3"/>
      <c r="G31" s="3"/>
      <c r="H31" s="104"/>
      <c r="I31" s="103"/>
      <c r="J31" s="103"/>
      <c r="K31" s="105"/>
      <c r="L31" s="104"/>
      <c r="Q31"/>
    </row>
    <row r="32" spans="1:17" s="91" customFormat="1" ht="12.75" customHeight="1" x14ac:dyDescent="0.25">
      <c r="A32" s="7"/>
      <c r="C32" s="99"/>
      <c r="D32" s="100"/>
      <c r="E32" s="101"/>
      <c r="F32" s="3"/>
      <c r="G32" s="3"/>
      <c r="H32" s="104"/>
      <c r="I32" s="103"/>
      <c r="J32" s="103"/>
      <c r="K32" s="105"/>
      <c r="L32" s="104"/>
      <c r="Q32"/>
    </row>
    <row r="33" spans="1:17" s="91" customFormat="1" ht="12.75" customHeight="1" x14ac:dyDescent="0.25">
      <c r="A33" s="7"/>
      <c r="C33" s="99"/>
      <c r="D33" s="100"/>
      <c r="E33" s="101"/>
      <c r="F33" s="3"/>
      <c r="G33" s="3"/>
      <c r="H33" s="104"/>
      <c r="I33" s="103"/>
      <c r="J33" s="103"/>
      <c r="K33" s="105"/>
      <c r="L33" s="104"/>
      <c r="Q33"/>
    </row>
    <row r="34" spans="1:17" s="91" customFormat="1" ht="12.75" customHeight="1" x14ac:dyDescent="0.25">
      <c r="A34" s="7"/>
      <c r="C34" s="99"/>
      <c r="D34" s="100"/>
      <c r="E34" s="101"/>
      <c r="F34" s="3"/>
      <c r="G34" s="3"/>
      <c r="H34" s="104"/>
      <c r="I34" s="103"/>
      <c r="J34" s="103"/>
      <c r="K34" s="105"/>
      <c r="L34" s="104"/>
      <c r="Q34"/>
    </row>
    <row r="35" spans="1:17" s="91" customFormat="1" ht="12.75" customHeight="1" x14ac:dyDescent="0.25">
      <c r="A35" s="7"/>
      <c r="C35" s="99"/>
      <c r="D35" s="100"/>
      <c r="E35" s="101"/>
      <c r="F35" s="3"/>
      <c r="G35" s="3"/>
      <c r="H35" s="104"/>
      <c r="I35" s="103"/>
      <c r="J35" s="103"/>
      <c r="K35" s="105"/>
      <c r="L35" s="104"/>
      <c r="Q35"/>
    </row>
    <row r="36" spans="1:17" s="91" customFormat="1" ht="12.75" customHeight="1" x14ac:dyDescent="0.25">
      <c r="A36" s="7"/>
      <c r="C36" s="99"/>
      <c r="D36" s="100"/>
      <c r="E36" s="101"/>
      <c r="F36" s="3"/>
      <c r="G36" s="3"/>
      <c r="H36" s="104"/>
      <c r="I36" s="103"/>
      <c r="J36" s="103"/>
      <c r="K36" s="105"/>
      <c r="L36" s="104"/>
      <c r="Q36"/>
    </row>
    <row r="37" spans="1:17" s="91" customFormat="1" ht="12.75" customHeight="1" x14ac:dyDescent="0.25">
      <c r="A37" s="7"/>
      <c r="C37" s="99"/>
      <c r="D37" s="100"/>
      <c r="E37" s="101"/>
      <c r="F37" s="3"/>
      <c r="G37" s="3"/>
      <c r="H37" s="104"/>
      <c r="I37" s="103"/>
      <c r="J37" s="103"/>
      <c r="K37" s="105"/>
      <c r="L37" s="104"/>
      <c r="Q37"/>
    </row>
    <row r="38" spans="1:17" s="91" customFormat="1" ht="12.75" customHeight="1" x14ac:dyDescent="0.25">
      <c r="A38" s="7"/>
      <c r="C38" s="99"/>
      <c r="D38" s="100"/>
      <c r="E38" s="101"/>
      <c r="F38" s="3"/>
      <c r="G38" s="3"/>
      <c r="H38" s="104"/>
      <c r="I38" s="105"/>
      <c r="J38" s="104"/>
      <c r="K38" s="105"/>
      <c r="L38" s="104"/>
      <c r="Q38"/>
    </row>
    <row r="39" spans="1:17" ht="12.75" customHeight="1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Q39"/>
    </row>
    <row r="40" spans="1:17" s="91" customFormat="1" ht="12.75" customHeight="1" x14ac:dyDescent="0.25">
      <c r="A40" s="7" t="str">
        <f>IF(ISBLANK(B40),"",1+MAX(A$6:A39))</f>
        <v/>
      </c>
      <c r="C40" s="99"/>
      <c r="D40" s="100"/>
      <c r="E40" s="101"/>
      <c r="F40" s="3"/>
      <c r="G40" s="3"/>
      <c r="H40" s="104"/>
      <c r="I40" s="103"/>
      <c r="J40" s="103"/>
      <c r="K40" s="103"/>
      <c r="L40" s="104"/>
      <c r="Q40"/>
    </row>
    <row r="41" spans="1:17" s="91" customFormat="1" ht="12.75" customHeight="1" x14ac:dyDescent="0.25">
      <c r="A41" s="7"/>
      <c r="C41" s="99"/>
      <c r="D41" s="100"/>
      <c r="E41" s="101"/>
      <c r="F41" s="3"/>
      <c r="G41" s="3"/>
      <c r="H41" s="104"/>
      <c r="I41" s="103"/>
      <c r="J41" s="103"/>
      <c r="K41" s="103"/>
      <c r="L41" s="104"/>
      <c r="Q41"/>
    </row>
    <row r="42" spans="1:17" s="91" customFormat="1" ht="12.75" customHeight="1" x14ac:dyDescent="0.25">
      <c r="A42" s="7"/>
      <c r="C42" s="99"/>
      <c r="D42" s="100"/>
      <c r="E42" s="101"/>
      <c r="F42" s="3"/>
      <c r="G42" s="3"/>
      <c r="H42" s="104"/>
      <c r="I42" s="103"/>
      <c r="J42" s="103"/>
      <c r="K42" s="103"/>
      <c r="L42" s="104"/>
      <c r="Q42"/>
    </row>
    <row r="43" spans="1:17" s="91" customFormat="1" ht="12.75" customHeight="1" x14ac:dyDescent="0.25">
      <c r="A43" s="7"/>
      <c r="C43" s="99"/>
      <c r="D43" s="100"/>
      <c r="E43" s="101"/>
      <c r="F43" s="3"/>
      <c r="G43" s="3"/>
      <c r="H43" s="104"/>
      <c r="I43" s="103"/>
      <c r="J43" s="103"/>
      <c r="K43" s="103"/>
      <c r="L43" s="104"/>
      <c r="Q43"/>
    </row>
    <row r="44" spans="1:17" s="91" customFormat="1" ht="12.75" customHeight="1" x14ac:dyDescent="0.25">
      <c r="A44" s="7"/>
      <c r="C44" s="99"/>
      <c r="D44" s="100"/>
      <c r="E44" s="101"/>
      <c r="F44" s="3"/>
      <c r="G44" s="3"/>
      <c r="H44" s="104"/>
      <c r="I44" s="103"/>
      <c r="J44" s="103"/>
      <c r="K44" s="103"/>
      <c r="L44" s="104"/>
      <c r="Q44"/>
    </row>
    <row r="45" spans="1:17" s="91" customFormat="1" ht="12.75" customHeight="1" x14ac:dyDescent="0.25">
      <c r="A45" s="7"/>
      <c r="C45" s="99"/>
      <c r="D45" s="100"/>
      <c r="E45" s="101"/>
      <c r="F45" s="3"/>
      <c r="G45" s="3"/>
      <c r="H45" s="104"/>
      <c r="I45" s="103"/>
      <c r="J45" s="103"/>
      <c r="K45" s="103"/>
      <c r="L45" s="104"/>
      <c r="Q45"/>
    </row>
    <row r="46" spans="1:17" s="91" customFormat="1" ht="12.75" customHeight="1" x14ac:dyDescent="0.25">
      <c r="A46" s="7"/>
      <c r="C46" s="99"/>
      <c r="D46" s="100"/>
      <c r="E46" s="101"/>
      <c r="F46" s="3"/>
      <c r="G46" s="3"/>
      <c r="H46" s="104"/>
      <c r="I46" s="103"/>
      <c r="J46" s="103"/>
      <c r="K46" s="103"/>
      <c r="L46" s="104"/>
      <c r="Q46"/>
    </row>
    <row r="47" spans="1:17" s="91" customFormat="1" ht="12.75" customHeight="1" x14ac:dyDescent="0.25">
      <c r="A47" s="7"/>
      <c r="C47" s="99"/>
      <c r="D47" s="100"/>
      <c r="E47" s="101"/>
      <c r="F47" s="3"/>
      <c r="G47" s="3"/>
      <c r="H47" s="104"/>
      <c r="I47" s="103"/>
      <c r="J47" s="103"/>
      <c r="K47" s="105"/>
      <c r="L47" s="104"/>
      <c r="Q47"/>
    </row>
    <row r="48" spans="1:17" s="91" customFormat="1" ht="12.75" customHeight="1" x14ac:dyDescent="0.25">
      <c r="A48" s="7"/>
      <c r="C48" s="99"/>
      <c r="D48" s="100"/>
      <c r="E48" s="101"/>
      <c r="F48" s="3"/>
      <c r="G48" s="3"/>
      <c r="H48" s="104"/>
      <c r="I48" s="105"/>
      <c r="J48" s="104"/>
      <c r="K48" s="105"/>
      <c r="L48" s="104"/>
      <c r="Q48"/>
    </row>
    <row r="49" spans="1:17" s="91" customFormat="1" ht="12.75" customHeight="1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Q49"/>
    </row>
    <row r="50" spans="1:17" s="91" customFormat="1" ht="12.75" customHeight="1" x14ac:dyDescent="0.25">
      <c r="A50" s="7" t="str">
        <f>IF(ISBLANK(B50),"",1+MAX(A$6:A49))</f>
        <v/>
      </c>
      <c r="C50" s="99"/>
      <c r="D50" s="100"/>
      <c r="E50" s="101"/>
      <c r="F50" s="3"/>
      <c r="G50" s="3"/>
      <c r="H50" s="103"/>
      <c r="I50" s="103"/>
      <c r="J50" s="103"/>
      <c r="K50" s="103"/>
      <c r="L50" s="104"/>
      <c r="Q50"/>
    </row>
    <row r="51" spans="1:17" s="91" customFormat="1" ht="12.75" customHeight="1" x14ac:dyDescent="0.25">
      <c r="A51" s="7"/>
      <c r="C51" s="99"/>
      <c r="D51" s="100"/>
      <c r="E51" s="101"/>
      <c r="F51" s="3"/>
      <c r="G51" s="3"/>
      <c r="H51" s="103"/>
      <c r="I51" s="103"/>
      <c r="J51" s="103"/>
      <c r="K51" s="103"/>
      <c r="L51" s="104"/>
      <c r="Q51"/>
    </row>
    <row r="52" spans="1:17" s="91" customFormat="1" ht="12.75" customHeight="1" x14ac:dyDescent="0.25">
      <c r="A52" s="7"/>
      <c r="C52" s="99"/>
      <c r="D52" s="100"/>
      <c r="E52" s="101"/>
      <c r="F52" s="3"/>
      <c r="G52" s="3"/>
      <c r="H52" s="103"/>
      <c r="I52" s="103"/>
      <c r="J52" s="103"/>
      <c r="K52" s="103"/>
      <c r="L52" s="104"/>
      <c r="Q52"/>
    </row>
    <row r="53" spans="1:17" s="91" customFormat="1" ht="12.75" customHeight="1" x14ac:dyDescent="0.25">
      <c r="A53" s="7"/>
      <c r="C53" s="99"/>
      <c r="D53" s="100"/>
      <c r="E53" s="101"/>
      <c r="F53" s="3"/>
      <c r="G53" s="3"/>
      <c r="H53" s="103"/>
      <c r="I53" s="103"/>
      <c r="J53" s="103"/>
      <c r="K53" s="103"/>
      <c r="L53" s="104"/>
      <c r="Q53"/>
    </row>
    <row r="54" spans="1:17" s="91" customFormat="1" ht="12.75" customHeight="1" x14ac:dyDescent="0.25">
      <c r="A54" s="7"/>
      <c r="C54" s="99"/>
      <c r="D54" s="100"/>
      <c r="E54" s="101"/>
      <c r="F54" s="3"/>
      <c r="G54" s="3"/>
      <c r="H54" s="103"/>
      <c r="I54" s="103"/>
      <c r="J54" s="103"/>
      <c r="K54" s="103"/>
      <c r="L54" s="104"/>
      <c r="Q54"/>
    </row>
    <row r="55" spans="1:17" s="91" customFormat="1" ht="12.75" customHeight="1" x14ac:dyDescent="0.25">
      <c r="A55" s="7"/>
      <c r="C55" s="99"/>
      <c r="D55" s="100"/>
      <c r="E55" s="101"/>
      <c r="F55" s="3"/>
      <c r="G55" s="3"/>
      <c r="H55" s="103"/>
      <c r="I55" s="103"/>
      <c r="J55" s="103"/>
      <c r="K55" s="103"/>
      <c r="L55" s="104"/>
      <c r="Q55"/>
    </row>
    <row r="56" spans="1:17" s="91" customFormat="1" ht="12.75" customHeight="1" x14ac:dyDescent="0.25">
      <c r="A56" s="7"/>
      <c r="C56" s="99"/>
      <c r="D56" s="100"/>
      <c r="E56" s="101"/>
      <c r="F56" s="3"/>
      <c r="G56" s="3"/>
      <c r="H56" s="103"/>
      <c r="I56" s="103"/>
      <c r="J56" s="103"/>
      <c r="K56" s="103"/>
      <c r="L56" s="104"/>
      <c r="Q56"/>
    </row>
    <row r="57" spans="1:17" s="91" customFormat="1" ht="12.75" customHeight="1" x14ac:dyDescent="0.25">
      <c r="A57" s="7"/>
      <c r="C57" s="99"/>
      <c r="D57" s="100"/>
      <c r="E57" s="101"/>
      <c r="F57" s="3"/>
      <c r="G57" s="3"/>
      <c r="H57" s="103"/>
      <c r="I57" s="103"/>
      <c r="J57" s="103"/>
      <c r="K57" s="105"/>
      <c r="L57" s="104"/>
      <c r="Q57"/>
    </row>
    <row r="58" spans="1:17" s="91" customFormat="1" ht="12.75" customHeight="1" x14ac:dyDescent="0.25">
      <c r="A58" s="7"/>
      <c r="C58" s="99"/>
      <c r="D58" s="100"/>
      <c r="E58" s="101"/>
      <c r="F58" s="3"/>
      <c r="G58" s="3"/>
      <c r="H58" s="103"/>
      <c r="I58" s="103"/>
      <c r="J58" s="104"/>
      <c r="K58" s="105"/>
      <c r="L58" s="104"/>
      <c r="Q58"/>
    </row>
    <row r="59" spans="1:17" ht="12.75" customHeight="1" x14ac:dyDescent="0.25">
      <c r="F59" s="91"/>
      <c r="G59" s="91"/>
      <c r="Q59"/>
    </row>
    <row r="60" spans="1:17" ht="12.75" customHeight="1" x14ac:dyDescent="0.25">
      <c r="C60" s="5" t="s">
        <v>12</v>
      </c>
      <c r="F60" s="91"/>
      <c r="G60" s="91"/>
      <c r="Q60"/>
    </row>
    <row r="61" spans="1:17" ht="12.75" customHeight="1" x14ac:dyDescent="0.2">
      <c r="C61" s="27" t="s">
        <v>60</v>
      </c>
      <c r="D61" s="27" t="s">
        <v>4</v>
      </c>
      <c r="E61" s="27"/>
      <c r="F61" s="91"/>
      <c r="G61" s="91"/>
      <c r="H61" s="29">
        <f>SUMIF($C$10:$C$58,$C61,H$10:H$58)</f>
        <v>0</v>
      </c>
      <c r="I61" s="29">
        <f t="shared" ref="I61:L69" si="0">SUMIF($C$10:$C$58,$C61,I$10:I$58)</f>
        <v>0</v>
      </c>
      <c r="J61" s="29">
        <f t="shared" si="0"/>
        <v>0</v>
      </c>
      <c r="K61" s="29">
        <f t="shared" si="0"/>
        <v>0</v>
      </c>
      <c r="L61" s="29">
        <f t="shared" si="0"/>
        <v>0</v>
      </c>
    </row>
    <row r="62" spans="1:17" ht="12.75" customHeight="1" x14ac:dyDescent="0.2">
      <c r="C62" s="4" t="s">
        <v>61</v>
      </c>
      <c r="D62" s="4" t="s">
        <v>4</v>
      </c>
      <c r="E62" s="4"/>
      <c r="F62" s="91"/>
      <c r="G62" s="91"/>
      <c r="H62" s="9">
        <f t="shared" ref="H62:H69" si="1">SUMIF($C$10:$C$58,$C62,H$10:H$58)</f>
        <v>0</v>
      </c>
      <c r="I62" s="9">
        <f t="shared" si="0"/>
        <v>0</v>
      </c>
      <c r="J62" s="9">
        <f t="shared" si="0"/>
        <v>0</v>
      </c>
      <c r="K62" s="9">
        <f t="shared" si="0"/>
        <v>0</v>
      </c>
      <c r="L62" s="9">
        <f t="shared" si="0"/>
        <v>0</v>
      </c>
    </row>
    <row r="63" spans="1:17" ht="12.75" customHeight="1" x14ac:dyDescent="0.2">
      <c r="C63" s="4" t="s">
        <v>69</v>
      </c>
      <c r="D63" s="4" t="s">
        <v>4</v>
      </c>
      <c r="E63" s="4"/>
      <c r="F63" s="91"/>
      <c r="G63" s="91"/>
      <c r="H63" s="9">
        <f t="shared" si="1"/>
        <v>0</v>
      </c>
      <c r="I63" s="9">
        <f t="shared" si="0"/>
        <v>0</v>
      </c>
      <c r="J63" s="9">
        <f t="shared" si="0"/>
        <v>0</v>
      </c>
      <c r="K63" s="9">
        <f t="shared" si="0"/>
        <v>0</v>
      </c>
      <c r="L63" s="9">
        <f t="shared" si="0"/>
        <v>0</v>
      </c>
    </row>
    <row r="64" spans="1:17" s="91" customFormat="1" ht="12.75" customHeight="1" x14ac:dyDescent="0.2">
      <c r="C64" s="4" t="s">
        <v>62</v>
      </c>
      <c r="D64" s="4" t="s">
        <v>4</v>
      </c>
      <c r="E64" s="4"/>
      <c r="H64" s="9">
        <f t="shared" si="1"/>
        <v>0</v>
      </c>
      <c r="I64" s="9">
        <f t="shared" si="0"/>
        <v>0</v>
      </c>
      <c r="J64" s="9">
        <f t="shared" si="0"/>
        <v>0</v>
      </c>
      <c r="K64" s="9">
        <f t="shared" si="0"/>
        <v>0</v>
      </c>
      <c r="L64" s="9">
        <f t="shared" si="0"/>
        <v>0</v>
      </c>
    </row>
    <row r="65" spans="3:19" s="91" customFormat="1" ht="12.75" customHeight="1" x14ac:dyDescent="0.2">
      <c r="C65" s="4" t="s">
        <v>63</v>
      </c>
      <c r="D65" s="4" t="s">
        <v>4</v>
      </c>
      <c r="E65" s="4"/>
      <c r="H65" s="9">
        <f t="shared" si="1"/>
        <v>0</v>
      </c>
      <c r="I65" s="9">
        <f t="shared" si="0"/>
        <v>0</v>
      </c>
      <c r="J65" s="9">
        <f t="shared" si="0"/>
        <v>0</v>
      </c>
      <c r="K65" s="9">
        <f t="shared" si="0"/>
        <v>0</v>
      </c>
      <c r="L65" s="9">
        <f t="shared" si="0"/>
        <v>0</v>
      </c>
    </row>
    <row r="66" spans="3:19" s="91" customFormat="1" ht="12.75" customHeight="1" x14ac:dyDescent="0.2">
      <c r="C66" s="4" t="s">
        <v>64</v>
      </c>
      <c r="D66" s="4" t="s">
        <v>4</v>
      </c>
      <c r="E66" s="4"/>
      <c r="H66" s="9">
        <f t="shared" si="1"/>
        <v>0</v>
      </c>
      <c r="I66" s="9">
        <f t="shared" si="0"/>
        <v>0</v>
      </c>
      <c r="J66" s="9">
        <f t="shared" si="0"/>
        <v>0</v>
      </c>
      <c r="K66" s="9">
        <f t="shared" si="0"/>
        <v>0</v>
      </c>
      <c r="L66" s="9">
        <f t="shared" si="0"/>
        <v>0</v>
      </c>
    </row>
    <row r="67" spans="3:19" s="91" customFormat="1" ht="12.75" customHeight="1" x14ac:dyDescent="0.2">
      <c r="C67" s="4" t="s">
        <v>65</v>
      </c>
      <c r="D67" s="4" t="s">
        <v>4</v>
      </c>
      <c r="E67" s="4"/>
      <c r="H67" s="9">
        <f t="shared" si="1"/>
        <v>0</v>
      </c>
      <c r="I67" s="9">
        <f t="shared" si="0"/>
        <v>0</v>
      </c>
      <c r="J67" s="9">
        <f t="shared" si="0"/>
        <v>0</v>
      </c>
      <c r="K67" s="9">
        <f t="shared" si="0"/>
        <v>0</v>
      </c>
      <c r="L67" s="9">
        <f t="shared" si="0"/>
        <v>0</v>
      </c>
    </row>
    <row r="68" spans="3:19" ht="12.75" customHeight="1" x14ac:dyDescent="0.2">
      <c r="C68" s="4" t="s">
        <v>66</v>
      </c>
      <c r="D68" s="4" t="s">
        <v>4</v>
      </c>
      <c r="E68" s="4"/>
      <c r="F68" s="91"/>
      <c r="G68" s="91"/>
      <c r="H68" s="9">
        <f t="shared" si="1"/>
        <v>0</v>
      </c>
      <c r="I68" s="9">
        <f t="shared" si="0"/>
        <v>0</v>
      </c>
      <c r="J68" s="9">
        <f t="shared" si="0"/>
        <v>0</v>
      </c>
      <c r="K68" s="9">
        <f t="shared" si="0"/>
        <v>0</v>
      </c>
      <c r="L68" s="9">
        <f t="shared" si="0"/>
        <v>0</v>
      </c>
    </row>
    <row r="69" spans="3:19" ht="12.75" customHeight="1" x14ac:dyDescent="0.2">
      <c r="C69" s="4" t="s">
        <v>67</v>
      </c>
      <c r="D69" s="4" t="s">
        <v>4</v>
      </c>
      <c r="E69" s="4"/>
      <c r="F69" s="91"/>
      <c r="G69" s="91"/>
      <c r="H69" s="9">
        <f t="shared" si="1"/>
        <v>0</v>
      </c>
      <c r="I69" s="9">
        <f t="shared" si="0"/>
        <v>0</v>
      </c>
      <c r="J69" s="9">
        <f t="shared" si="0"/>
        <v>0</v>
      </c>
      <c r="K69" s="9">
        <f t="shared" si="0"/>
        <v>0</v>
      </c>
      <c r="L69" s="9">
        <f t="shared" si="0"/>
        <v>0</v>
      </c>
    </row>
    <row r="70" spans="3:19" ht="12.75" customHeight="1" x14ac:dyDescent="0.2">
      <c r="C70" s="10" t="str">
        <f>"Total Expenditure ($ "&amp;Assumptions!$B$8&amp;")"</f>
        <v>Total Expenditure ($ 2018)</v>
      </c>
      <c r="D70" s="10"/>
      <c r="E70" s="10"/>
      <c r="F70" s="91"/>
      <c r="G70" s="91"/>
      <c r="H70" s="11">
        <f>SUM(H61:H69)</f>
        <v>0</v>
      </c>
      <c r="I70" s="11">
        <f>SUM(I61:I69)</f>
        <v>0</v>
      </c>
      <c r="J70" s="11">
        <f>SUM(J61:J69)</f>
        <v>0</v>
      </c>
      <c r="K70" s="11">
        <f>SUM(K61:K69)</f>
        <v>0</v>
      </c>
      <c r="L70" s="11">
        <f>SUM(L61:L69)</f>
        <v>0</v>
      </c>
      <c r="M70" s="39"/>
      <c r="N70" s="91"/>
      <c r="O70" s="91"/>
      <c r="P70" s="91"/>
    </row>
    <row r="71" spans="3:19" ht="12.75" customHeight="1" x14ac:dyDescent="0.2">
      <c r="C71" s="27" t="str">
        <f>"Total Expenditure ($ "&amp;Assumptions!B17&amp;")"</f>
        <v>Total Expenditure ($ 2020/21)</v>
      </c>
      <c r="D71" s="27"/>
      <c r="E71" s="27"/>
      <c r="F71" s="91"/>
      <c r="G71" s="91"/>
      <c r="H71" s="40">
        <f>H70*Assumptions!$B$18</f>
        <v>0</v>
      </c>
      <c r="I71" s="40">
        <f>I70*Assumptions!$B$18</f>
        <v>0</v>
      </c>
      <c r="J71" s="40">
        <f>J70*Assumptions!$B$18</f>
        <v>0</v>
      </c>
      <c r="K71" s="40">
        <f>K70*Assumptions!$B$18</f>
        <v>0</v>
      </c>
      <c r="L71" s="40">
        <f>L70*Assumptions!$B$18</f>
        <v>0</v>
      </c>
      <c r="M71" s="39"/>
      <c r="N71" s="91"/>
      <c r="O71" s="91"/>
      <c r="P71" s="91"/>
    </row>
    <row r="72" spans="3:19" x14ac:dyDescent="0.2">
      <c r="C72" s="92" t="s">
        <v>11</v>
      </c>
      <c r="D72" s="92"/>
      <c r="E72" s="92"/>
      <c r="F72" s="91"/>
      <c r="G72" s="91"/>
      <c r="H72" s="93">
        <f>H70-SUM(H10:H58)</f>
        <v>0</v>
      </c>
      <c r="I72" s="93">
        <f>I70-SUM(I10:I58)</f>
        <v>0</v>
      </c>
      <c r="J72" s="93">
        <f>J70-SUM(J10:J58)</f>
        <v>0</v>
      </c>
      <c r="K72" s="93">
        <f>K70-SUM(K10:K58)</f>
        <v>0</v>
      </c>
      <c r="L72" s="93">
        <f>L70-SUM(L10:L58)</f>
        <v>0</v>
      </c>
      <c r="M72" s="91"/>
      <c r="N72" s="93">
        <f>SUM(H72:L72)</f>
        <v>0</v>
      </c>
      <c r="O72" s="91"/>
      <c r="P72" s="91"/>
    </row>
    <row r="73" spans="3:19" ht="12.75" customHeight="1" x14ac:dyDescent="0.2">
      <c r="C73" s="91"/>
      <c r="D73" s="91"/>
      <c r="E73" s="91"/>
      <c r="F73" s="91"/>
      <c r="G73" s="91"/>
      <c r="H73" s="91"/>
      <c r="I73" s="91"/>
      <c r="J73" s="91"/>
      <c r="K73" s="91"/>
      <c r="L73" s="91"/>
      <c r="M73" s="91"/>
      <c r="N73" s="91"/>
      <c r="O73" s="91"/>
      <c r="P73" s="91"/>
    </row>
    <row r="74" spans="3:19" s="91" customFormat="1" ht="12.75" customHeight="1" x14ac:dyDescent="0.25">
      <c r="C74" s="5" t="s">
        <v>12</v>
      </c>
      <c r="F74" s="3"/>
      <c r="G74" s="12"/>
      <c r="H74" s="3"/>
      <c r="S74"/>
    </row>
    <row r="75" spans="3:19" s="91" customFormat="1" ht="12.75" customHeight="1" x14ac:dyDescent="0.2">
      <c r="C75" s="27" t="s">
        <v>1</v>
      </c>
      <c r="D75" s="27" t="s">
        <v>4</v>
      </c>
      <c r="E75" s="27" t="s">
        <v>55</v>
      </c>
      <c r="H75" s="40">
        <f>SUMPRODUCT(H$61:H$69,Assumptions!$D$33:$D$41)*Conv_2021</f>
        <v>0</v>
      </c>
      <c r="I75" s="40">
        <f>SUMPRODUCT(I$61:I$69,Assumptions!$D$33:$D$41)*Conv_2021</f>
        <v>0</v>
      </c>
      <c r="J75" s="40">
        <f>SUMPRODUCT(J$61:J$69,Assumptions!$D$33:$D$41)*Conv_2021</f>
        <v>0</v>
      </c>
      <c r="K75" s="40">
        <f>SUMPRODUCT(K$61:K$69,Assumptions!$D$33:$D$41)*Conv_2021</f>
        <v>0</v>
      </c>
      <c r="L75" s="40">
        <f>SUMPRODUCT(L$61:L$69,Assumptions!$D$33:$D$41)*Conv_2021</f>
        <v>0</v>
      </c>
    </row>
    <row r="76" spans="3:19" s="91" customFormat="1" ht="12.75" customHeight="1" x14ac:dyDescent="0.2">
      <c r="C76" s="4" t="s">
        <v>0</v>
      </c>
      <c r="D76" s="4" t="s">
        <v>4</v>
      </c>
      <c r="E76" s="4" t="s">
        <v>55</v>
      </c>
      <c r="H76" s="130">
        <f>SUMPRODUCT(H$61:H$69,Assumptions!$E$33:$E$41)*Conv_2021-H78</f>
        <v>0</v>
      </c>
      <c r="I76" s="130">
        <f>SUMPRODUCT(I$61:I$69,Assumptions!$E$33:$E$41)*Conv_2021-I78</f>
        <v>0</v>
      </c>
      <c r="J76" s="130">
        <f>SUMPRODUCT(J$61:J$69,Assumptions!$E$33:$E$41)*Conv_2021-J78</f>
        <v>0</v>
      </c>
      <c r="K76" s="130">
        <f>SUMPRODUCT(K$61:K$69,Assumptions!$E$33:$E$41)*Conv_2021-K78</f>
        <v>0</v>
      </c>
      <c r="L76" s="130">
        <f>SUMPRODUCT(L$61:L$69,Assumptions!$E$33:$E$41)*Conv_2021-L78</f>
        <v>0</v>
      </c>
    </row>
    <row r="77" spans="3:19" s="91" customFormat="1" ht="12.75" customHeight="1" x14ac:dyDescent="0.2">
      <c r="C77" s="4" t="s">
        <v>3</v>
      </c>
      <c r="D77" s="4" t="s">
        <v>4</v>
      </c>
      <c r="E77" s="4" t="s">
        <v>55</v>
      </c>
      <c r="H77" s="130">
        <f>SUMPRODUCT(H$61:H$69,Assumptions!$F$33:$F$41)*Conv_2021</f>
        <v>0</v>
      </c>
      <c r="I77" s="130">
        <f>SUMPRODUCT(I$61:I$69,Assumptions!$F$33:$F$41)*Conv_2021</f>
        <v>0</v>
      </c>
      <c r="J77" s="130">
        <f>SUMPRODUCT(J$61:J$69,Assumptions!$F$33:$F$41)*Conv_2021</f>
        <v>0</v>
      </c>
      <c r="K77" s="130">
        <f>SUMPRODUCT(K$61:K$69,Assumptions!$F$33:$F$41)*Conv_2021</f>
        <v>0</v>
      </c>
      <c r="L77" s="130">
        <f>SUMPRODUCT(L$61:L$69,Assumptions!$F$33:$F$41)*Conv_2021</f>
        <v>0</v>
      </c>
    </row>
    <row r="78" spans="3:19" s="91" customFormat="1" ht="12.75" customHeight="1" x14ac:dyDescent="0.2">
      <c r="C78" s="4" t="s">
        <v>69</v>
      </c>
      <c r="D78" s="4" t="s">
        <v>93</v>
      </c>
      <c r="E78" s="4" t="s">
        <v>69</v>
      </c>
      <c r="H78" s="130">
        <f>SUMIF($C$10:$C$58,$C78,H$10:H$58)*Conv_2021</f>
        <v>0</v>
      </c>
      <c r="I78" s="130">
        <f>SUMIF($C$10:$C$58,$C78,I$10:I$58)*Conv_2021</f>
        <v>0</v>
      </c>
      <c r="J78" s="130">
        <f>SUMIF($C$10:$C$58,$C78,J$10:J$58)*Conv_2021</f>
        <v>0</v>
      </c>
      <c r="K78" s="130">
        <f>SUMIF($C$10:$C$58,$C78,K$10:K$58)*Conv_2021</f>
        <v>0</v>
      </c>
      <c r="L78" s="130">
        <f>SUMIF($C$10:$C$58,$C78,L$10:L$58)*Conv_2021</f>
        <v>0</v>
      </c>
    </row>
    <row r="79" spans="3:19" s="91" customFormat="1" ht="12.75" customHeight="1" x14ac:dyDescent="0.2">
      <c r="C79" s="10" t="str">
        <f>"Total Expenditure ($ "&amp;Assumptions!B17&amp;")"</f>
        <v>Total Expenditure ($ 2020/21)</v>
      </c>
      <c r="D79" s="10"/>
      <c r="E79" s="10"/>
      <c r="H79" s="11">
        <f>SUM(H75:H78)</f>
        <v>0</v>
      </c>
      <c r="I79" s="11">
        <f t="shared" ref="I79:L79" si="2">SUM(I75:I78)</f>
        <v>0</v>
      </c>
      <c r="J79" s="11">
        <f t="shared" si="2"/>
        <v>0</v>
      </c>
      <c r="K79" s="11">
        <f t="shared" si="2"/>
        <v>0</v>
      </c>
      <c r="L79" s="11">
        <f t="shared" si="2"/>
        <v>0</v>
      </c>
      <c r="O79" s="39"/>
    </row>
    <row r="80" spans="3:19" s="91" customFormat="1" x14ac:dyDescent="0.2">
      <c r="C80" s="92" t="s">
        <v>11</v>
      </c>
      <c r="D80" s="92"/>
      <c r="E80" s="92"/>
      <c r="H80" s="93">
        <f>H71-H79</f>
        <v>0</v>
      </c>
      <c r="I80" s="93">
        <f t="shared" ref="I80:L80" si="3">I71-I79</f>
        <v>0</v>
      </c>
      <c r="J80" s="93">
        <f t="shared" si="3"/>
        <v>0</v>
      </c>
      <c r="K80" s="93">
        <f t="shared" si="3"/>
        <v>0</v>
      </c>
      <c r="L80" s="93">
        <f t="shared" si="3"/>
        <v>0</v>
      </c>
      <c r="N80" s="93">
        <f>SUM(H80:L80)</f>
        <v>0</v>
      </c>
    </row>
    <row r="81" spans="3:14" s="91" customFormat="1" ht="12.75" customHeight="1" x14ac:dyDescent="0.2"/>
    <row r="82" spans="3:14" ht="12.75" customHeight="1" x14ac:dyDescent="0.2">
      <c r="F82" s="91"/>
      <c r="G82" s="91"/>
    </row>
    <row r="83" spans="3:14" ht="12.75" customHeight="1" x14ac:dyDescent="0.2">
      <c r="C83" s="5" t="s">
        <v>12</v>
      </c>
      <c r="D83" s="133"/>
      <c r="E83" s="133"/>
      <c r="F83" s="3"/>
      <c r="G83" s="12"/>
      <c r="H83" s="150"/>
      <c r="I83" s="133"/>
      <c r="J83" s="133"/>
      <c r="K83" s="133"/>
      <c r="L83" s="133"/>
    </row>
    <row r="84" spans="3:14" ht="12.75" customHeight="1" x14ac:dyDescent="0.2">
      <c r="D84" s="1" t="s">
        <v>55</v>
      </c>
      <c r="E84" s="137" t="str">
        <f t="shared" ref="E84:E93" si="4">C84&amp;" - "&amp;D84</f>
        <v xml:space="preserve"> - Property</v>
      </c>
      <c r="H84" s="40">
        <f>SUM(H10:H18)*Conv_2021-H85</f>
        <v>0</v>
      </c>
      <c r="I84" s="40">
        <f>SUM(I10:I18)*Conv_2021-I85</f>
        <v>0</v>
      </c>
      <c r="J84" s="40">
        <f>SUM(J10:J18)*Conv_2021-J85</f>
        <v>0</v>
      </c>
      <c r="K84" s="40">
        <f>SUM(K10:K18)*Conv_2021-K85</f>
        <v>0</v>
      </c>
      <c r="L84" s="40">
        <f>SUM(L10:L18)*Conv_2021-L85</f>
        <v>0</v>
      </c>
    </row>
    <row r="85" spans="3:14" x14ac:dyDescent="0.2">
      <c r="C85" s="91"/>
      <c r="D85" s="1" t="s">
        <v>69</v>
      </c>
      <c r="E85" s="137" t="str">
        <f t="shared" si="4"/>
        <v xml:space="preserve"> - Land</v>
      </c>
      <c r="H85" s="130">
        <f>H12*Conv_2021</f>
        <v>0</v>
      </c>
      <c r="I85" s="130">
        <f>I12*Conv_2021</f>
        <v>0</v>
      </c>
      <c r="J85" s="130">
        <f>J12*Conv_2021</f>
        <v>0</v>
      </c>
      <c r="K85" s="130">
        <f>K12*Conv_2021</f>
        <v>0</v>
      </c>
      <c r="L85" s="130">
        <f>L12*Conv_2021</f>
        <v>0</v>
      </c>
    </row>
    <row r="86" spans="3:14" x14ac:dyDescent="0.2">
      <c r="D86" s="91" t="s">
        <v>55</v>
      </c>
      <c r="E86" s="137" t="str">
        <f t="shared" si="4"/>
        <v xml:space="preserve"> - Property</v>
      </c>
      <c r="H86" s="130">
        <f>SUM(H20:H28)*Conv_2021-H87</f>
        <v>0</v>
      </c>
      <c r="I86" s="130">
        <f>SUM(I20:I28)*Conv_2021-I87</f>
        <v>0</v>
      </c>
      <c r="J86" s="130">
        <f>SUM(J20:J28)*Conv_2021-J87</f>
        <v>0</v>
      </c>
      <c r="K86" s="130">
        <f>SUM(K20:K28)*Conv_2021-K87</f>
        <v>0</v>
      </c>
      <c r="L86" s="130">
        <f>SUM(L20:L28)*Conv_2021-L87</f>
        <v>0</v>
      </c>
    </row>
    <row r="87" spans="3:14" x14ac:dyDescent="0.2">
      <c r="C87" s="91"/>
      <c r="D87" s="91" t="s">
        <v>69</v>
      </c>
      <c r="E87" s="137" t="str">
        <f t="shared" si="4"/>
        <v xml:space="preserve"> - Land</v>
      </c>
      <c r="H87" s="130">
        <f>H22*Conv_2021</f>
        <v>0</v>
      </c>
      <c r="I87" s="130">
        <f>I22*Conv_2021</f>
        <v>0</v>
      </c>
      <c r="J87" s="130">
        <f>J22*Conv_2021</f>
        <v>0</v>
      </c>
      <c r="K87" s="130">
        <f>K22*Conv_2021</f>
        <v>0</v>
      </c>
      <c r="L87" s="130">
        <f>L22*Conv_2021</f>
        <v>0</v>
      </c>
    </row>
    <row r="88" spans="3:14" x14ac:dyDescent="0.2">
      <c r="D88" s="91" t="s">
        <v>55</v>
      </c>
      <c r="E88" s="137" t="str">
        <f t="shared" si="4"/>
        <v xml:space="preserve"> - Property</v>
      </c>
      <c r="H88" s="130">
        <f>SUM(H30:H38)*Conv_2021-H89</f>
        <v>0</v>
      </c>
      <c r="I88" s="130">
        <f>SUM(I30:I38)*Conv_2021-I89</f>
        <v>0</v>
      </c>
      <c r="J88" s="130">
        <f>SUM(J30:J38)*Conv_2021-J89</f>
        <v>0</v>
      </c>
      <c r="K88" s="130">
        <f>SUM(K30:K38)*Conv_2021-K89</f>
        <v>0</v>
      </c>
      <c r="L88" s="130">
        <f>SUM(L30:L38)*Conv_2021-L89</f>
        <v>0</v>
      </c>
    </row>
    <row r="89" spans="3:14" x14ac:dyDescent="0.2">
      <c r="C89" s="91"/>
      <c r="D89" s="91" t="s">
        <v>69</v>
      </c>
      <c r="E89" s="137" t="str">
        <f t="shared" si="4"/>
        <v xml:space="preserve"> - Land</v>
      </c>
      <c r="H89" s="130">
        <f>H32*Conv_2021</f>
        <v>0</v>
      </c>
      <c r="I89" s="130">
        <f>I32*Conv_2021</f>
        <v>0</v>
      </c>
      <c r="J89" s="130">
        <f>J32*Conv_2021</f>
        <v>0</v>
      </c>
      <c r="K89" s="130">
        <f>K32*Conv_2021</f>
        <v>0</v>
      </c>
      <c r="L89" s="130">
        <f>L32*Conv_2021</f>
        <v>0</v>
      </c>
    </row>
    <row r="90" spans="3:14" x14ac:dyDescent="0.2">
      <c r="C90" s="91"/>
      <c r="D90" s="91" t="s">
        <v>55</v>
      </c>
      <c r="E90" s="137" t="str">
        <f t="shared" si="4"/>
        <v xml:space="preserve"> - Property</v>
      </c>
      <c r="H90" s="130">
        <f>SUM(H40:H48)*Conv_2021-H91</f>
        <v>0</v>
      </c>
      <c r="I90" s="130">
        <f>SUM(I40:I48)*Conv_2021-I91</f>
        <v>0</v>
      </c>
      <c r="J90" s="130">
        <f>SUM(J40:J48)*Conv_2021-J91</f>
        <v>0</v>
      </c>
      <c r="K90" s="130">
        <f>SUM(K40:K48)*Conv_2021-K91</f>
        <v>0</v>
      </c>
      <c r="L90" s="130">
        <f>SUM(L40:L48)*Conv_2021-L91</f>
        <v>0</v>
      </c>
    </row>
    <row r="91" spans="3:14" x14ac:dyDescent="0.2">
      <c r="C91" s="91"/>
      <c r="D91" s="91" t="s">
        <v>69</v>
      </c>
      <c r="E91" s="137" t="str">
        <f t="shared" si="4"/>
        <v xml:space="preserve"> - Land</v>
      </c>
      <c r="H91" s="130">
        <f>H42*Conv_2021</f>
        <v>0</v>
      </c>
      <c r="I91" s="130">
        <f>I42*Conv_2021</f>
        <v>0</v>
      </c>
      <c r="J91" s="130">
        <f>J42*Conv_2021</f>
        <v>0</v>
      </c>
      <c r="K91" s="130">
        <f>K42*Conv_2021</f>
        <v>0</v>
      </c>
      <c r="L91" s="130">
        <f>L42*Conv_2021</f>
        <v>0</v>
      </c>
    </row>
    <row r="92" spans="3:14" x14ac:dyDescent="0.2">
      <c r="D92" s="91" t="s">
        <v>55</v>
      </c>
      <c r="E92" s="137" t="str">
        <f t="shared" si="4"/>
        <v xml:space="preserve"> - Property</v>
      </c>
      <c r="H92" s="130">
        <f>SUM(H50:H58)*Conv_2021-H93</f>
        <v>0</v>
      </c>
      <c r="I92" s="130">
        <f>SUM(I50:I58)*Conv_2021-I93</f>
        <v>0</v>
      </c>
      <c r="J92" s="130">
        <f>SUM(J50:J58)*Conv_2021-J93</f>
        <v>0</v>
      </c>
      <c r="K92" s="130">
        <f>SUM(K50:K58)*Conv_2021-K93</f>
        <v>0</v>
      </c>
      <c r="L92" s="130">
        <f>SUM(L50:L58)*Conv_2021-L93</f>
        <v>0</v>
      </c>
    </row>
    <row r="93" spans="3:14" x14ac:dyDescent="0.2">
      <c r="C93" s="91"/>
      <c r="D93" s="91" t="s">
        <v>69</v>
      </c>
      <c r="E93" s="137" t="str">
        <f t="shared" si="4"/>
        <v xml:space="preserve"> - Land</v>
      </c>
      <c r="H93" s="130">
        <f>H52*Conv_2021</f>
        <v>0</v>
      </c>
      <c r="I93" s="130">
        <f>I52*Conv_2021</f>
        <v>0</v>
      </c>
      <c r="J93" s="130">
        <f>J52*Conv_2021</f>
        <v>0</v>
      </c>
      <c r="K93" s="130">
        <f>K52*Conv_2021</f>
        <v>0</v>
      </c>
      <c r="L93" s="130">
        <f>L52*Conv_2021</f>
        <v>0</v>
      </c>
    </row>
    <row r="94" spans="3:14" x14ac:dyDescent="0.2">
      <c r="C94" s="10" t="str">
        <f>"Total Expenditure ($ "&amp;Assumptions!B17&amp;")"</f>
        <v>Total Expenditure ($ 2020/21)</v>
      </c>
      <c r="D94" s="10"/>
      <c r="E94" s="10"/>
      <c r="F94" s="91"/>
      <c r="G94" s="91"/>
      <c r="H94" s="11">
        <f>SUM(H84:H93)</f>
        <v>0</v>
      </c>
      <c r="I94" s="11">
        <f t="shared" ref="I94:L94" si="5">SUM(I84:I93)</f>
        <v>0</v>
      </c>
      <c r="J94" s="11">
        <f t="shared" si="5"/>
        <v>0</v>
      </c>
      <c r="K94" s="11">
        <f t="shared" si="5"/>
        <v>0</v>
      </c>
      <c r="L94" s="11">
        <f t="shared" si="5"/>
        <v>0</v>
      </c>
    </row>
    <row r="95" spans="3:14" x14ac:dyDescent="0.2">
      <c r="C95" s="92" t="s">
        <v>11</v>
      </c>
      <c r="D95" s="92"/>
      <c r="E95" s="92"/>
      <c r="F95" s="91"/>
      <c r="G95" s="91"/>
      <c r="H95" s="93">
        <f>H79-H94</f>
        <v>0</v>
      </c>
      <c r="I95" s="93">
        <f>I79-I94</f>
        <v>0</v>
      </c>
      <c r="J95" s="93">
        <f>J79-J94</f>
        <v>0</v>
      </c>
      <c r="K95" s="93">
        <f>K79-K94</f>
        <v>0</v>
      </c>
      <c r="L95" s="93">
        <f>L79-L94</f>
        <v>0</v>
      </c>
      <c r="N95" s="93">
        <f>SUM(H95:L95)</f>
        <v>0</v>
      </c>
    </row>
    <row r="97" spans="3:16" ht="12.75" customHeight="1" x14ac:dyDescent="0.2">
      <c r="C97" s="115" t="str">
        <f>"NPV ($ "&amp;Assumptions!$B$17&amp;")"</f>
        <v>NPV ($ 2020/21)</v>
      </c>
      <c r="D97" s="116">
        <f>NPV(Assumptions!$B$6,$H$79:$L$79)</f>
        <v>0</v>
      </c>
      <c r="E97" s="38"/>
      <c r="F97" s="91"/>
      <c r="G97" s="91"/>
      <c r="H97" s="91"/>
      <c r="I97" s="91"/>
      <c r="J97" s="91"/>
      <c r="K97" s="91"/>
      <c r="L97" s="91"/>
      <c r="M97" s="91"/>
      <c r="N97" s="91"/>
      <c r="O97" s="91"/>
      <c r="P97" s="91"/>
    </row>
  </sheetData>
  <conditionalFormatting sqref="N72">
    <cfRule type="expression" dxfId="7" priority="11">
      <formula>ABS(N72)&gt;0.001</formula>
    </cfRule>
  </conditionalFormatting>
  <conditionalFormatting sqref="H72:L72">
    <cfRule type="expression" dxfId="6" priority="9">
      <formula>ABS(H72)&gt;0.001</formula>
    </cfRule>
  </conditionalFormatting>
  <conditionalFormatting sqref="H80:L80">
    <cfRule type="expression" dxfId="5" priority="6">
      <formula>ABS(H80)&gt;0.001</formula>
    </cfRule>
  </conditionalFormatting>
  <conditionalFormatting sqref="N80">
    <cfRule type="expression" dxfId="4" priority="5">
      <formula>ABS(N80)&gt;0.001</formula>
    </cfRule>
  </conditionalFormatting>
  <conditionalFormatting sqref="H95:L95">
    <cfRule type="expression" dxfId="3" priority="2">
      <formula>ABS(H95)&gt;0.001</formula>
    </cfRule>
  </conditionalFormatting>
  <conditionalFormatting sqref="N95">
    <cfRule type="expression" dxfId="2" priority="1">
      <formula>ABS(N95)&gt;0.001</formula>
    </cfRule>
  </conditionalFormatting>
  <dataValidations count="2">
    <dataValidation type="list" allowBlank="1" showInputMessage="1" showErrorMessage="1" sqref="D30:D38 D10:D18 D20:D28 D40:D48 D50:D58">
      <formula1>"CapEx, OpEx"</formula1>
    </dataValidation>
    <dataValidation type="list" allowBlank="1" showInputMessage="1" showErrorMessage="1" sqref="E10:E18 E20:E28 E30:E38 E40:E48 E50:E58">
      <formula1>"Brooklyn, Bendigo, Warrnambool, Echuca, Ballarat"</formula1>
    </dataValidation>
  </dataValidation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S35"/>
  <sheetViews>
    <sheetView showGridLines="0" zoomScale="90" zoomScaleNormal="90" workbookViewId="0"/>
  </sheetViews>
  <sheetFormatPr defaultColWidth="9.140625" defaultRowHeight="12.75" x14ac:dyDescent="0.2"/>
  <cols>
    <col min="1" max="1" width="4.28515625" style="91" customWidth="1"/>
    <col min="2" max="2" width="2.7109375" style="91" customWidth="1"/>
    <col min="3" max="3" width="45.7109375" style="91" customWidth="1"/>
    <col min="4" max="4" width="11.140625" style="91" customWidth="1"/>
    <col min="5" max="5" width="13" style="91" bestFit="1" customWidth="1"/>
    <col min="6" max="7" width="2.85546875" style="91" customWidth="1"/>
    <col min="8" max="12" width="12.140625" style="91" customWidth="1"/>
    <col min="13" max="13" width="2.140625" style="91" customWidth="1"/>
    <col min="14" max="16384" width="9.140625" style="91"/>
  </cols>
  <sheetData>
    <row r="1" spans="1:17" ht="21" x14ac:dyDescent="0.35">
      <c r="A1" s="18" t="str">
        <f>Assumptions!A1</f>
        <v>Non-Network Capex</v>
      </c>
      <c r="B1" s="18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7" ht="15.75" x14ac:dyDescent="0.25">
      <c r="A2" s="17" t="str">
        <f>Assumptions!A2</f>
        <v>CP</v>
      </c>
      <c r="B2" s="17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7" s="37" customFormat="1" ht="15" x14ac:dyDescent="0.25">
      <c r="A3" s="35" t="s">
        <v>102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N3" s="110" t="b">
        <f>SUM(N7:N20)=0</f>
        <v>1</v>
      </c>
    </row>
    <row r="4" spans="1:17" s="2" customFormat="1" ht="12.75" customHeight="1" x14ac:dyDescent="0.25">
      <c r="B4" s="19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7" s="2" customFormat="1" ht="12.75" customHeight="1" x14ac:dyDescent="0.2">
      <c r="A5" s="2" t="str">
        <f>"Inputs are in $"&amp;Assumptions!$B$8&amp; " unless otherwise stated"</f>
        <v>Inputs are in $2018 unless otherwise stated</v>
      </c>
      <c r="B5" s="22"/>
      <c r="C5" s="20"/>
      <c r="D5" s="20"/>
      <c r="E5" s="20"/>
      <c r="F5" s="20"/>
      <c r="G5" s="20"/>
      <c r="H5" s="20"/>
      <c r="I5" s="20"/>
      <c r="J5" s="20"/>
      <c r="K5" s="20"/>
      <c r="L5" s="20"/>
    </row>
    <row r="6" spans="1:17" ht="12.75" customHeight="1" x14ac:dyDescent="0.2">
      <c r="A6" s="7"/>
      <c r="F6" s="20"/>
    </row>
    <row r="7" spans="1:17" ht="12.75" customHeight="1" x14ac:dyDescent="0.2">
      <c r="A7" s="7"/>
      <c r="C7" s="112" t="s">
        <v>39</v>
      </c>
      <c r="D7" s="23" t="s">
        <v>20</v>
      </c>
      <c r="E7" s="23" t="s">
        <v>8</v>
      </c>
      <c r="F7" s="20"/>
      <c r="H7" s="23" t="s">
        <v>10</v>
      </c>
      <c r="I7" s="24"/>
      <c r="J7" s="24"/>
      <c r="K7" s="24"/>
      <c r="L7" s="24"/>
    </row>
    <row r="8" spans="1:17" ht="12.75" customHeight="1" x14ac:dyDescent="0.2">
      <c r="A8" s="7"/>
      <c r="B8" s="7"/>
      <c r="C8" s="7"/>
      <c r="D8" s="7"/>
      <c r="E8" s="7"/>
      <c r="F8" s="20"/>
      <c r="G8" s="4"/>
      <c r="H8" s="113" t="s">
        <v>15</v>
      </c>
      <c r="I8" s="113" t="s">
        <v>16</v>
      </c>
      <c r="J8" s="113" t="s">
        <v>17</v>
      </c>
      <c r="K8" s="113" t="s">
        <v>18</v>
      </c>
      <c r="L8" s="113" t="s">
        <v>19</v>
      </c>
    </row>
    <row r="9" spans="1:17" ht="12.75" customHeight="1" x14ac:dyDescent="0.2">
      <c r="F9" s="20"/>
    </row>
    <row r="10" spans="1:17" ht="12.75" customHeight="1" x14ac:dyDescent="0.2">
      <c r="A10" s="7" t="str">
        <f>IF(ISBLANK(B10),"",1+MAX(A$6:A9))</f>
        <v/>
      </c>
      <c r="C10" s="99"/>
      <c r="D10" s="100"/>
      <c r="E10" s="101"/>
      <c r="F10" s="3"/>
      <c r="G10" s="3"/>
      <c r="H10" s="103"/>
      <c r="I10" s="103"/>
      <c r="J10" s="103"/>
      <c r="K10" s="103"/>
      <c r="L10" s="103"/>
    </row>
    <row r="11" spans="1:17" ht="12.75" customHeight="1" x14ac:dyDescent="0.2">
      <c r="A11" s="7" t="str">
        <f>IF(ISBLANK(B11),"",1+MAX(A$6:A10))</f>
        <v/>
      </c>
      <c r="C11" s="99"/>
      <c r="D11" s="100"/>
      <c r="E11" s="101"/>
      <c r="F11" s="3"/>
      <c r="G11" s="3"/>
      <c r="H11" s="103"/>
      <c r="I11" s="103"/>
      <c r="J11" s="103"/>
      <c r="K11" s="103"/>
      <c r="L11" s="103"/>
    </row>
    <row r="12" spans="1:17" ht="12.75" customHeight="1" x14ac:dyDescent="0.2">
      <c r="A12" s="7" t="str">
        <f>IF(ISBLANK(B12),"",1+MAX(A$6:A11))</f>
        <v/>
      </c>
      <c r="C12" s="99"/>
      <c r="D12" s="100"/>
      <c r="E12" s="101"/>
      <c r="F12" s="3"/>
      <c r="G12" s="3"/>
      <c r="H12" s="103"/>
      <c r="I12" s="103"/>
      <c r="J12" s="103"/>
      <c r="K12" s="103"/>
      <c r="L12" s="103"/>
    </row>
    <row r="13" spans="1:17" ht="12.75" customHeight="1" x14ac:dyDescent="0.25">
      <c r="A13" s="7" t="str">
        <f>IF(ISBLANK(B13),"",1+MAX(A$6:A12))</f>
        <v/>
      </c>
      <c r="C13" s="99"/>
      <c r="D13" s="100"/>
      <c r="E13" s="101"/>
      <c r="F13" s="3"/>
      <c r="G13" s="3"/>
      <c r="H13" s="103"/>
      <c r="I13" s="103"/>
      <c r="J13" s="103"/>
      <c r="K13" s="103"/>
      <c r="L13" s="103"/>
      <c r="Q13"/>
    </row>
    <row r="14" spans="1:17" ht="12.75" customHeight="1" x14ac:dyDescent="0.25">
      <c r="A14" s="7"/>
      <c r="C14" s="99"/>
      <c r="D14" s="100"/>
      <c r="E14" s="101"/>
      <c r="F14" s="3"/>
      <c r="G14" s="3"/>
      <c r="H14" s="103"/>
      <c r="I14" s="103"/>
      <c r="J14" s="103"/>
      <c r="K14" s="103"/>
      <c r="L14" s="103"/>
      <c r="Q14"/>
    </row>
    <row r="15" spans="1:17" ht="12.75" customHeight="1" x14ac:dyDescent="0.25">
      <c r="A15" s="7"/>
      <c r="C15" s="99"/>
      <c r="D15" s="100"/>
      <c r="E15" s="101"/>
      <c r="F15" s="3"/>
      <c r="G15" s="3"/>
      <c r="H15" s="103"/>
      <c r="I15" s="103"/>
      <c r="J15" s="103"/>
      <c r="K15" s="103"/>
      <c r="L15" s="103"/>
      <c r="Q15"/>
    </row>
    <row r="16" spans="1:17" ht="12.75" customHeight="1" x14ac:dyDescent="0.25">
      <c r="A16" s="7"/>
      <c r="C16" s="99"/>
      <c r="D16" s="100"/>
      <c r="E16" s="101"/>
      <c r="F16" s="3"/>
      <c r="G16" s="3"/>
      <c r="H16" s="103"/>
      <c r="I16" s="103"/>
      <c r="J16" s="103"/>
      <c r="K16" s="103"/>
      <c r="L16" s="103"/>
      <c r="Q16"/>
    </row>
    <row r="17" spans="1:19" ht="12.75" customHeight="1" x14ac:dyDescent="0.25">
      <c r="A17" s="7"/>
      <c r="C17" s="99"/>
      <c r="D17" s="100"/>
      <c r="E17" s="101"/>
      <c r="F17" s="3"/>
      <c r="G17" s="3"/>
      <c r="H17" s="103"/>
      <c r="I17" s="103"/>
      <c r="J17" s="103"/>
      <c r="K17" s="103"/>
      <c r="L17" s="103"/>
      <c r="Q17"/>
    </row>
    <row r="18" spans="1:19" ht="12.75" customHeight="1" x14ac:dyDescent="0.25">
      <c r="A18" s="7" t="str">
        <f>IF(ISBLANK(B18),"",1+MAX(A$6:A13))</f>
        <v/>
      </c>
      <c r="C18" s="99"/>
      <c r="D18" s="100"/>
      <c r="E18" s="101"/>
      <c r="F18" s="3"/>
      <c r="G18" s="3"/>
      <c r="H18" s="103"/>
      <c r="I18" s="103"/>
      <c r="J18" s="103"/>
      <c r="K18" s="103"/>
      <c r="L18" s="103"/>
      <c r="Q18"/>
    </row>
    <row r="19" spans="1:19" ht="12.75" customHeight="1" x14ac:dyDescent="0.25">
      <c r="A19" s="7" t="str">
        <f>IF(ISBLANK(B19),"",1+MAX(A$6:A18))</f>
        <v/>
      </c>
      <c r="F19" s="3"/>
      <c r="G19" s="3"/>
      <c r="Q19"/>
    </row>
    <row r="20" spans="1:19" ht="12.75" customHeight="1" x14ac:dyDescent="0.25">
      <c r="Q20"/>
    </row>
    <row r="21" spans="1:19" ht="12.75" customHeight="1" x14ac:dyDescent="0.2"/>
    <row r="22" spans="1:19" ht="12.75" customHeight="1" x14ac:dyDescent="0.25">
      <c r="C22" s="5" t="s">
        <v>12</v>
      </c>
      <c r="F22" s="3"/>
      <c r="G22" s="12"/>
      <c r="H22" s="3"/>
      <c r="S22"/>
    </row>
    <row r="23" spans="1:19" ht="12.75" customHeight="1" x14ac:dyDescent="0.2">
      <c r="C23" s="27" t="s">
        <v>1</v>
      </c>
      <c r="D23" s="27" t="s">
        <v>4</v>
      </c>
      <c r="E23" s="27"/>
      <c r="H23" s="40">
        <f>SUMIF($E$10:$E$18,$C23,H$10:H$18)</f>
        <v>0</v>
      </c>
      <c r="I23" s="40">
        <f t="shared" ref="I23:L25" si="0">SUMIF($E$10:$E$18,$C23,I$10:I$18)</f>
        <v>0</v>
      </c>
      <c r="J23" s="40">
        <f t="shared" si="0"/>
        <v>0</v>
      </c>
      <c r="K23" s="40">
        <f t="shared" si="0"/>
        <v>0</v>
      </c>
      <c r="L23" s="40">
        <f t="shared" si="0"/>
        <v>0</v>
      </c>
    </row>
    <row r="24" spans="1:19" ht="12.75" customHeight="1" x14ac:dyDescent="0.2">
      <c r="C24" s="4" t="s">
        <v>0</v>
      </c>
      <c r="D24" s="4" t="s">
        <v>4</v>
      </c>
      <c r="E24" s="4"/>
      <c r="H24" s="130">
        <f t="shared" ref="H24:H25" si="1">SUMIF($E$10:$E$18,$C24,H$10:H$18)</f>
        <v>0</v>
      </c>
      <c r="I24" s="130">
        <f t="shared" si="0"/>
        <v>0</v>
      </c>
      <c r="J24" s="130">
        <f t="shared" si="0"/>
        <v>0</v>
      </c>
      <c r="K24" s="130">
        <f t="shared" si="0"/>
        <v>0</v>
      </c>
      <c r="L24" s="130">
        <f t="shared" si="0"/>
        <v>0</v>
      </c>
    </row>
    <row r="25" spans="1:19" ht="12.75" customHeight="1" x14ac:dyDescent="0.2">
      <c r="C25" s="4" t="s">
        <v>3</v>
      </c>
      <c r="D25" s="4" t="s">
        <v>4</v>
      </c>
      <c r="E25" s="4"/>
      <c r="H25" s="130">
        <f t="shared" si="1"/>
        <v>0</v>
      </c>
      <c r="I25" s="130">
        <f t="shared" si="0"/>
        <v>0</v>
      </c>
      <c r="J25" s="130">
        <f t="shared" si="0"/>
        <v>0</v>
      </c>
      <c r="K25" s="130">
        <f t="shared" si="0"/>
        <v>0</v>
      </c>
      <c r="L25" s="130">
        <f t="shared" si="0"/>
        <v>0</v>
      </c>
    </row>
    <row r="26" spans="1:19" ht="12.75" customHeight="1" x14ac:dyDescent="0.2">
      <c r="C26" s="10" t="str">
        <f>"Total Expenditure ($ "&amp;Assumptions!$B$8&amp;")"</f>
        <v>Total Expenditure ($ 2018)</v>
      </c>
      <c r="D26" s="10"/>
      <c r="E26" s="10"/>
      <c r="H26" s="11">
        <f>SUM(H23:H25)</f>
        <v>0</v>
      </c>
      <c r="I26" s="11">
        <f>SUM(I23:I25)</f>
        <v>0</v>
      </c>
      <c r="J26" s="11">
        <f>SUM(J23:J25)</f>
        <v>0</v>
      </c>
      <c r="K26" s="11">
        <f>SUM(K23:K25)</f>
        <v>0</v>
      </c>
      <c r="L26" s="11">
        <f>SUM(L23:L25)</f>
        <v>0</v>
      </c>
      <c r="O26" s="39"/>
    </row>
    <row r="27" spans="1:19" ht="12.75" customHeight="1" x14ac:dyDescent="0.2">
      <c r="C27" s="27" t="str">
        <f>"Total Expenditure ($ "&amp;Assumptions!B17&amp;")"</f>
        <v>Total Expenditure ($ 2020/21)</v>
      </c>
      <c r="D27" s="7"/>
      <c r="E27" s="7"/>
      <c r="H27" s="40">
        <f>H26*Assumptions!$B$18</f>
        <v>0</v>
      </c>
      <c r="I27" s="40">
        <f>I26*Assumptions!$B$18</f>
        <v>0</v>
      </c>
      <c r="J27" s="40">
        <f>J26*Assumptions!$B$18</f>
        <v>0</v>
      </c>
      <c r="K27" s="40">
        <f>K26*Assumptions!$B$18</f>
        <v>0</v>
      </c>
      <c r="L27" s="40">
        <f>L26*Assumptions!$B$18</f>
        <v>0</v>
      </c>
      <c r="O27" s="39"/>
    </row>
    <row r="28" spans="1:19" x14ac:dyDescent="0.2">
      <c r="C28" s="92" t="s">
        <v>11</v>
      </c>
      <c r="D28" s="92"/>
      <c r="E28" s="92"/>
      <c r="H28" s="93">
        <f>H26-SUM(H10:H18)</f>
        <v>0</v>
      </c>
      <c r="I28" s="93">
        <f t="shared" ref="I28:L28" si="2">I26-SUM(I10:I18)</f>
        <v>0</v>
      </c>
      <c r="J28" s="93">
        <f t="shared" si="2"/>
        <v>0</v>
      </c>
      <c r="K28" s="93">
        <f t="shared" si="2"/>
        <v>0</v>
      </c>
      <c r="L28" s="93">
        <f t="shared" si="2"/>
        <v>0</v>
      </c>
      <c r="N28" s="93">
        <f>SUM(H28:L28)</f>
        <v>0</v>
      </c>
    </row>
    <row r="29" spans="1:19" ht="12.75" customHeight="1" x14ac:dyDescent="0.2"/>
    <row r="30" spans="1:19" ht="12.75" customHeight="1" x14ac:dyDescent="0.2">
      <c r="C30" s="115" t="str">
        <f>"NPV ($ "&amp;Assumptions!$B$17&amp;")"</f>
        <v>NPV ($ 2020/21)</v>
      </c>
      <c r="D30" s="116">
        <f>NPV(Assumptions!$B$6,$H$27:$L$27)</f>
        <v>0</v>
      </c>
      <c r="E30" s="38"/>
    </row>
    <row r="31" spans="1:19" ht="12.75" customHeight="1" x14ac:dyDescent="0.2"/>
    <row r="32" spans="1:19" ht="12.75" customHeight="1" x14ac:dyDescent="0.2"/>
    <row r="33" ht="12.75" customHeight="1" x14ac:dyDescent="0.2"/>
    <row r="34" ht="12.75" customHeight="1" x14ac:dyDescent="0.2"/>
    <row r="35" ht="12.75" customHeight="1" x14ac:dyDescent="0.2"/>
  </sheetData>
  <conditionalFormatting sqref="H28:L28">
    <cfRule type="expression" dxfId="1" priority="2">
      <formula>ABS(H28)&gt;0.001</formula>
    </cfRule>
  </conditionalFormatting>
  <conditionalFormatting sqref="N28">
    <cfRule type="expression" dxfId="0" priority="1">
      <formula>ABS(N28)&gt;0.001</formula>
    </cfRule>
  </conditionalFormatting>
  <dataValidations count="2">
    <dataValidation type="list" allowBlank="1" showInputMessage="1" showErrorMessage="1" sqref="E11:E18">
      <formula1>"Brooklyn, Bendigo, Warrnambool, Echuca, Ballarat"</formula1>
    </dataValidation>
    <dataValidation type="list" allowBlank="1" showInputMessage="1" showErrorMessage="1" sqref="D10:D18">
      <formula1>"CapEx, OpEx"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Output</vt:lpstr>
      <vt:lpstr>Summary</vt:lpstr>
      <vt:lpstr>Assumptions</vt:lpstr>
      <vt:lpstr>Fleet</vt:lpstr>
      <vt:lpstr>Tools_Equip</vt:lpstr>
      <vt:lpstr>Facilities</vt:lpstr>
      <vt:lpstr>Building</vt:lpstr>
      <vt:lpstr>Depot</vt:lpstr>
      <vt:lpstr>Disposal</vt:lpstr>
      <vt:lpstr>Conv_2021</vt:lpstr>
      <vt:lpstr>Building!Option1_categories</vt:lpstr>
      <vt:lpstr>Tools_Equip!Option1_categories</vt:lpstr>
      <vt:lpstr>Option1_categories</vt:lpstr>
      <vt:lpstr>Building!Option1_costs</vt:lpstr>
      <vt:lpstr>Tools_Equip!Option1_costs</vt:lpstr>
      <vt:lpstr>Option1_costs</vt:lpstr>
      <vt:lpstr>Option1Property_categories</vt:lpstr>
      <vt:lpstr>Option1Property_costs</vt:lpstr>
      <vt:lpstr>Option2_categories</vt:lpstr>
      <vt:lpstr>Summary!Print_Area</vt:lpstr>
      <vt:lpstr>Building!years</vt:lpstr>
      <vt:lpstr>Tools_Equip!years</vt:lpstr>
      <vt:lpstr>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2020-01-22T03:38:59Z</dcterms:created>
  <dcterms:modified xsi:type="dcterms:W3CDTF">2020-01-22T03:39:58Z</dcterms:modified>
</cp:coreProperties>
</file>